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77" firstSheet="22" activeTab="29"/>
  </bookViews>
  <sheets>
    <sheet name="汇总收执" sheetId="1" r:id="rId1"/>
    <sheet name="汇总支执" sheetId="2" r:id="rId2"/>
    <sheet name="本级收执" sheetId="3" r:id="rId3"/>
    <sheet name="本级支执" sheetId="4" r:id="rId4"/>
    <sheet name="汇总基收执" sheetId="5" r:id="rId5"/>
    <sheet name="汇总基支执" sheetId="6" r:id="rId6"/>
    <sheet name="本级基金收执" sheetId="7" r:id="rId7"/>
    <sheet name="本级基金支执" sheetId="8" r:id="rId8"/>
    <sheet name="国有资本执行总表" sheetId="9" r:id="rId9"/>
    <sheet name="社保执行总表 " sheetId="10" r:id="rId10"/>
    <sheet name="企业养老保险" sheetId="11" r:id="rId11"/>
    <sheet name="机关事业养老保险 " sheetId="12" r:id="rId12"/>
    <sheet name="失业保险 " sheetId="13" r:id="rId13"/>
    <sheet name="职工医保 " sheetId="14" r:id="rId14"/>
    <sheet name="工伤保险 " sheetId="15" r:id="rId15"/>
    <sheet name="生育保险" sheetId="16" r:id="rId16"/>
    <sheet name="汇总收预" sheetId="17" r:id="rId17"/>
    <sheet name="汇总支预" sheetId="18" r:id="rId18"/>
    <sheet name="汇总平衡" sheetId="19" r:id="rId19"/>
    <sheet name="本级收预" sheetId="20" r:id="rId20"/>
    <sheet name="本级支预" sheetId="21" r:id="rId21"/>
    <sheet name="2017市本级一般公共预算支出" sheetId="22" r:id="rId22"/>
    <sheet name="本级平衡" sheetId="23" r:id="rId23"/>
    <sheet name="汇总基收预" sheetId="24" r:id="rId24"/>
    <sheet name="汇总基支预" sheetId="25" r:id="rId25"/>
    <sheet name="本级基收预" sheetId="26" r:id="rId26"/>
    <sheet name="本级基支预" sheetId="27" r:id="rId27"/>
    <sheet name="国资收支预算" sheetId="28" r:id="rId28"/>
    <sheet name="国资收入预算" sheetId="29" r:id="rId29"/>
    <sheet name="国资支出预算" sheetId="30" r:id="rId30"/>
    <sheet name="2017社保预算总表" sheetId="31" r:id="rId31"/>
    <sheet name="企业养老收支表" sheetId="32" r:id="rId32"/>
    <sheet name="机关事业养老保险收支表 " sheetId="33" r:id="rId33"/>
    <sheet name="失业收支表" sheetId="34" r:id="rId34"/>
    <sheet name="医疗收支表 " sheetId="35" r:id="rId35"/>
    <sheet name="工伤收支表 " sheetId="36" r:id="rId36"/>
    <sheet name="生育收支表 " sheetId="37" r:id="rId37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">#REF!</definedName>
    <definedName name="_6_其他" localSheetId="22">#REF!</definedName>
    <definedName name="_6_其他">#REF!</definedName>
    <definedName name="_Order1" hidden="1">255</definedName>
    <definedName name="_Order2" hidden="1">255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d" localSheetId="22">#REF!</definedName>
    <definedName name="d">#REF!</definedName>
    <definedName name="g">GET.CELL(48,INDIRECT("rc",FALSE))</definedName>
    <definedName name="H">GET.CELL(48,INDIRECT("RC",FALSE))</definedName>
    <definedName name="jhvgh" localSheetId="22">#REF!</definedName>
    <definedName name="jhvgh">#REF!</definedName>
    <definedName name="_xlnm.Print_Area" localSheetId="6">'本级基金收执'!$A$1:$F$17</definedName>
    <definedName name="_xlnm.Print_Area" localSheetId="7">'本级基金支执'!$A$1:$F$13</definedName>
    <definedName name="_xlnm.Print_Area" localSheetId="19">'本级收预'!$A$1:$D$41</definedName>
    <definedName name="_xlnm.Print_Area" localSheetId="2">'本级收执'!$A$1:$F$41</definedName>
    <definedName name="_xlnm.Print_Area" localSheetId="20">'本级支预'!$A$1:$D$29</definedName>
    <definedName name="_xlnm.Print_Area" localSheetId="3">'本级支执'!$A$1:$D$26</definedName>
    <definedName name="_xlnm.Print_Area" localSheetId="28">'国资收入预算'!$A$1:$B$15</definedName>
    <definedName name="_xlnm.Print_Area" localSheetId="27">'国资收支预算'!$A$1:$D$21</definedName>
    <definedName name="_xlnm.Print_Area" localSheetId="4">'汇总基收执'!$A$1:$F$22</definedName>
    <definedName name="_xlnm.Print_Area" localSheetId="5">'汇总基支执'!$A$1:$F$13</definedName>
    <definedName name="_xlnm.Print_Area" localSheetId="16">'汇总收预'!$A$1:$D$41</definedName>
    <definedName name="_xlnm.Print_Area" localSheetId="0">'汇总收执'!$A$1:$F$41</definedName>
    <definedName name="_xlnm.Print_Area" localSheetId="17">'汇总支预'!$A$1:$D$27</definedName>
    <definedName name="_xlnm.Print_Area" localSheetId="1">'汇总支执'!$A$1:$D$26</definedName>
    <definedName name="_xlnm.Print_Area" localSheetId="9">'社保执行总表 '!$A$1:$H$21</definedName>
    <definedName name="_xlnm.Print_Area" localSheetId="12">'失业保险 '!$A$1:$H$17</definedName>
    <definedName name="_xlnm.Print_Area" hidden="1">#N/A</definedName>
    <definedName name="_xlnm.Print_Titles" localSheetId="21">'2017市本级一般公共预算支出'!$1:$5</definedName>
    <definedName name="_xlnm.Print_Titles" localSheetId="7">'本级基金支执'!$1:$3</definedName>
    <definedName name="_xlnm.Print_Titles" localSheetId="20">'本级支预'!$A:$A,'本级支预'!$1:$3</definedName>
    <definedName name="_xlnm.Print_Titles" localSheetId="4">'汇总基收执'!$A:$A,'汇总基收执'!$1:$3</definedName>
    <definedName name="_xlnm.Print_Titles" localSheetId="0">'汇总收执'!$A:$A,'汇总收执'!$1:$3</definedName>
    <definedName name="_xlnm.Print_Titles" localSheetId="17">'汇总支预'!$A:$A,'汇总支预'!$1:$3</definedName>
    <definedName name="_xlnm.Print_Titles" hidden="1">#N/A</definedName>
    <definedName name="QUERY2">#REF!</definedName>
    <definedName name="本级支执222">#REF!</definedName>
    <definedName name="大通湖支出">#REF!</definedName>
    <definedName name="地区名称">#REF!</definedName>
    <definedName name="工">#REF!</definedName>
    <definedName name="购车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22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式">#REF!</definedName>
    <definedName name="双" localSheetId="22">#REF!</definedName>
    <definedName name="双">#REF!</definedName>
    <definedName name="下级指标">'[14]单位指标查询'!$A$3:$O$240</definedName>
    <definedName name="预算支出指标帐">#REF!</definedName>
  </definedNames>
  <calcPr fullCalcOnLoad="1"/>
</workbook>
</file>

<file path=xl/comments22.xml><?xml version="1.0" encoding="utf-8"?>
<comments xmlns="http://schemas.openxmlformats.org/spreadsheetml/2006/main">
  <authors>
    <author>lduser1</author>
  </authors>
  <commentList>
    <comment ref="A67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与2011年科目名称不同，2011年“预算编制业务”</t>
        </r>
      </text>
    </comment>
    <comment ref="A645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是否加项级科目，2011年未加</t>
        </r>
      </text>
    </comment>
    <comment ref="A646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是否增加两个项级科目</t>
        </r>
      </text>
    </comment>
    <comment ref="A647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是否增加两个项级科目</t>
        </r>
      </text>
    </comment>
    <comment ref="A648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是否增加两个项级科目</t>
        </r>
      </text>
    </comment>
    <comment ref="A649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是否增加两个项级科目</t>
        </r>
      </text>
    </comment>
    <comment ref="A896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2012年新增科目</t>
        </r>
      </text>
    </comment>
    <comment ref="A1168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新增加科目，删除“矿产资源补偿费安排的支出”及“探矿权使用费和价款安排的支出”</t>
        </r>
      </text>
    </comment>
    <comment ref="A1188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新增加科目</t>
        </r>
      </text>
    </comment>
    <comment ref="A1248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2012年科目名称改动</t>
        </r>
      </text>
    </comment>
    <comment ref="A1279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2011年科目“一般财政预算石油储备支出”</t>
        </r>
      </text>
    </comment>
  </commentList>
</comments>
</file>

<file path=xl/sharedStrings.xml><?xml version="1.0" encoding="utf-8"?>
<sst xmlns="http://schemas.openxmlformats.org/spreadsheetml/2006/main" count="2537" uniqueCount="1662">
  <si>
    <t>2016年益阳市(汇总)一般公共预算收入预算执行情况</t>
  </si>
  <si>
    <r>
      <rPr>
        <sz val="11"/>
        <rFont val="宋体"/>
        <family val="0"/>
      </rPr>
      <t>单位：万元</t>
    </r>
  </si>
  <si>
    <r>
      <rPr>
        <sz val="11"/>
        <rFont val="宋体"/>
        <family val="0"/>
      </rPr>
      <t>收入项目</t>
    </r>
  </si>
  <si>
    <r>
      <rPr>
        <sz val="11"/>
        <rFont val="宋体"/>
        <family val="0"/>
      </rPr>
      <t>调整预算</t>
    </r>
  </si>
  <si>
    <r>
      <t>2016</t>
    </r>
    <r>
      <rPr>
        <sz val="11"/>
        <rFont val="宋体"/>
        <family val="0"/>
      </rPr>
      <t>年
预计完成数</t>
    </r>
  </si>
  <si>
    <r>
      <rPr>
        <sz val="11"/>
        <rFont val="宋体"/>
        <family val="0"/>
      </rPr>
      <t>完成预算％</t>
    </r>
  </si>
  <si>
    <r>
      <t>2015</t>
    </r>
    <r>
      <rPr>
        <sz val="11"/>
        <rFont val="宋体"/>
        <family val="0"/>
      </rPr>
      <t>年
决算数</t>
    </r>
  </si>
  <si>
    <t>比上年
增长％</t>
  </si>
  <si>
    <t>一、税收收入</t>
  </si>
  <si>
    <r>
      <t xml:space="preserve">    </t>
    </r>
    <r>
      <rPr>
        <sz val="11"/>
        <rFont val="宋体"/>
        <family val="0"/>
      </rPr>
      <t>增值税</t>
    </r>
    <r>
      <rPr>
        <sz val="11"/>
        <rFont val="Times New Roman"/>
        <family val="1"/>
      </rPr>
      <t>37.5%</t>
    </r>
  </si>
  <si>
    <r>
      <t xml:space="preserve">    </t>
    </r>
    <r>
      <rPr>
        <sz val="11"/>
        <rFont val="宋体"/>
        <family val="0"/>
      </rPr>
      <t>营业税</t>
    </r>
    <r>
      <rPr>
        <sz val="11"/>
        <rFont val="Times New Roman"/>
        <family val="1"/>
      </rPr>
      <t>75%</t>
    </r>
  </si>
  <si>
    <r>
      <t xml:space="preserve">    </t>
    </r>
    <r>
      <rPr>
        <sz val="11"/>
        <rFont val="宋体"/>
        <family val="0"/>
      </rPr>
      <t>企业所得税</t>
    </r>
    <r>
      <rPr>
        <sz val="11"/>
        <rFont val="Times New Roman"/>
        <family val="1"/>
      </rPr>
      <t>28%</t>
    </r>
  </si>
  <si>
    <r>
      <t xml:space="preserve">    </t>
    </r>
    <r>
      <rPr>
        <sz val="11"/>
        <rFont val="宋体"/>
        <family val="0"/>
      </rPr>
      <t>企业所得税退税</t>
    </r>
  </si>
  <si>
    <r>
      <t xml:space="preserve">    </t>
    </r>
    <r>
      <rPr>
        <sz val="11"/>
        <rFont val="宋体"/>
        <family val="0"/>
      </rPr>
      <t>个人所得税</t>
    </r>
    <r>
      <rPr>
        <sz val="11"/>
        <rFont val="Times New Roman"/>
        <family val="1"/>
      </rPr>
      <t>28%</t>
    </r>
  </si>
  <si>
    <r>
      <t xml:space="preserve">    </t>
    </r>
    <r>
      <rPr>
        <sz val="11"/>
        <rFont val="宋体"/>
        <family val="0"/>
      </rPr>
      <t>资源税</t>
    </r>
    <r>
      <rPr>
        <sz val="11"/>
        <rFont val="Times New Roman"/>
        <family val="1"/>
      </rPr>
      <t>75%</t>
    </r>
  </si>
  <si>
    <t xml:space="preserve">    城市维护建设税</t>
  </si>
  <si>
    <t xml:space="preserve">    房产税</t>
  </si>
  <si>
    <t xml:space="preserve">    印花税</t>
  </si>
  <si>
    <r>
      <t xml:space="preserve">    </t>
    </r>
    <r>
      <rPr>
        <sz val="11"/>
        <rFont val="宋体"/>
        <family val="0"/>
      </rPr>
      <t>城镇土地使用税</t>
    </r>
    <r>
      <rPr>
        <sz val="11"/>
        <rFont val="Times New Roman"/>
        <family val="1"/>
      </rPr>
      <t>70%</t>
    </r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</si>
  <si>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</si>
  <si>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</si>
  <si>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</si>
  <si>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</si>
  <si>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</si>
  <si>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</si>
  <si>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</si>
  <si>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</si>
  <si>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</si>
  <si>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</si>
  <si>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</si>
  <si>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</si>
  <si>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</si>
  <si>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</si>
  <si>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地方收入小计</t>
  </si>
  <si>
    <t>三、上划中央收入</t>
  </si>
  <si>
    <r>
      <rPr>
        <sz val="11"/>
        <rFont val="宋体"/>
        <family val="0"/>
      </rPr>
      <t>上划中央增值税50</t>
    </r>
    <r>
      <rPr>
        <sz val="11"/>
        <rFont val="Times New Roman"/>
        <family val="1"/>
      </rPr>
      <t>%</t>
    </r>
  </si>
  <si>
    <r>
      <rPr>
        <sz val="11"/>
        <rFont val="宋体"/>
        <family val="0"/>
      </rPr>
      <t>上划中央消费税</t>
    </r>
    <r>
      <rPr>
        <sz val="11"/>
        <rFont val="Times New Roman"/>
        <family val="1"/>
      </rPr>
      <t>100%</t>
    </r>
  </si>
  <si>
    <r>
      <rPr>
        <sz val="11"/>
        <rFont val="宋体"/>
        <family val="0"/>
      </rPr>
      <t>上划中央所得税</t>
    </r>
    <r>
      <rPr>
        <sz val="11"/>
        <rFont val="Times New Roman"/>
        <family val="1"/>
      </rPr>
      <t>60%</t>
    </r>
  </si>
  <si>
    <t>四、上划省收入</t>
  </si>
  <si>
    <r>
      <rPr>
        <sz val="11"/>
        <rFont val="宋体"/>
        <family val="0"/>
      </rPr>
      <t>上划省增值税</t>
    </r>
    <r>
      <rPr>
        <sz val="11"/>
        <rFont val="Times New Roman"/>
        <family val="1"/>
      </rPr>
      <t>12.5%</t>
    </r>
  </si>
  <si>
    <r>
      <rPr>
        <sz val="11"/>
        <rFont val="宋体"/>
        <family val="0"/>
      </rPr>
      <t>上划省营业税</t>
    </r>
    <r>
      <rPr>
        <sz val="11"/>
        <rFont val="Times New Roman"/>
        <family val="1"/>
      </rPr>
      <t>25%</t>
    </r>
  </si>
  <si>
    <r>
      <rPr>
        <sz val="11"/>
        <rFont val="宋体"/>
        <family val="0"/>
      </rPr>
      <t>上划省所得税</t>
    </r>
    <r>
      <rPr>
        <sz val="11"/>
        <rFont val="Times New Roman"/>
        <family val="1"/>
      </rPr>
      <t>12%</t>
    </r>
  </si>
  <si>
    <r>
      <rPr>
        <sz val="11"/>
        <rFont val="宋体"/>
        <family val="0"/>
      </rPr>
      <t>上划省资源税</t>
    </r>
    <r>
      <rPr>
        <sz val="11"/>
        <rFont val="Times New Roman"/>
        <family val="1"/>
      </rPr>
      <t>25%</t>
    </r>
  </si>
  <si>
    <r>
      <rPr>
        <sz val="11"/>
        <rFont val="宋体"/>
        <family val="0"/>
      </rPr>
      <t>上划省城镇土地使用税税</t>
    </r>
    <r>
      <rPr>
        <sz val="11"/>
        <rFont val="Times New Roman"/>
        <family val="1"/>
      </rPr>
      <t>30%</t>
    </r>
  </si>
  <si>
    <t>一般公共预算收入总计</t>
  </si>
  <si>
    <r>
      <rPr>
        <sz val="11"/>
        <rFont val="宋体"/>
        <family val="0"/>
      </rPr>
      <t>说明：根据《关于全面推开营业税改征增值税试点有关预算管理问题的通知》（湘财预</t>
    </r>
    <r>
      <rPr>
        <sz val="11"/>
        <rFont val="Times New Roman"/>
        <family val="1"/>
      </rPr>
      <t>[2016]48</t>
    </r>
    <r>
      <rPr>
        <sz val="11"/>
        <rFont val="宋体"/>
        <family val="0"/>
      </rPr>
      <t>号），自</t>
    </r>
    <r>
      <rPr>
        <sz val="11"/>
        <rFont val="Times New Roman"/>
        <family val="1"/>
      </rPr>
      <t>2016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日起，全面推开营改增试点，同时调整中央与地方增值税收入划分办法，中央、省、市县增值税按</t>
    </r>
    <r>
      <rPr>
        <sz val="11"/>
        <rFont val="Times New Roman"/>
        <family val="1"/>
      </rPr>
      <t>50%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12.5%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37.5%</t>
    </r>
    <r>
      <rPr>
        <sz val="11"/>
        <rFont val="宋体"/>
        <family val="0"/>
      </rPr>
      <t>比例分享。如考虑营改增因素，则增值税（含营业税）比上年同口径增长</t>
    </r>
    <r>
      <rPr>
        <sz val="11"/>
        <rFont val="Times New Roman"/>
        <family val="1"/>
      </rPr>
      <t>0.65%</t>
    </r>
    <r>
      <rPr>
        <sz val="11"/>
        <rFont val="宋体"/>
        <family val="0"/>
      </rPr>
      <t>。</t>
    </r>
  </si>
  <si>
    <t>2016年益阳市(汇总)一般公共预算支出预算执行情况</t>
  </si>
  <si>
    <r>
      <rPr>
        <sz val="11"/>
        <rFont val="宋体"/>
        <family val="0"/>
      </rPr>
      <t>支出功能科目分类</t>
    </r>
  </si>
  <si>
    <r>
      <t>2016</t>
    </r>
    <r>
      <rPr>
        <sz val="10"/>
        <rFont val="宋体"/>
        <family val="0"/>
      </rPr>
      <t>年预计完成数</t>
    </r>
  </si>
  <si>
    <r>
      <t>2015</t>
    </r>
    <r>
      <rPr>
        <sz val="11"/>
        <rFont val="宋体"/>
        <family val="0"/>
      </rPr>
      <t>年决算数</t>
    </r>
  </si>
  <si>
    <r>
      <rPr>
        <sz val="11"/>
        <rFont val="宋体"/>
        <family val="0"/>
      </rPr>
      <t>比上年
增长</t>
    </r>
    <r>
      <rPr>
        <sz val="11"/>
        <rFont val="Times New Roman"/>
        <family val="1"/>
      </rPr>
      <t>%</t>
    </r>
  </si>
  <si>
    <r>
      <rPr>
        <sz val="11"/>
        <rFont val="宋体"/>
        <family val="0"/>
      </rPr>
      <t>一般公共服务支出</t>
    </r>
  </si>
  <si>
    <r>
      <rPr>
        <sz val="11"/>
        <rFont val="宋体"/>
        <family val="0"/>
      </rPr>
      <t>外交支出</t>
    </r>
  </si>
  <si>
    <r>
      <rPr>
        <sz val="11"/>
        <rFont val="宋体"/>
        <family val="0"/>
      </rPr>
      <t>国防支出</t>
    </r>
  </si>
  <si>
    <r>
      <rPr>
        <sz val="11"/>
        <rFont val="宋体"/>
        <family val="0"/>
      </rPr>
      <t>公共安全支出</t>
    </r>
  </si>
  <si>
    <r>
      <rPr>
        <sz val="11"/>
        <rFont val="宋体"/>
        <family val="0"/>
      </rPr>
      <t>教育支出</t>
    </r>
  </si>
  <si>
    <r>
      <rPr>
        <sz val="11"/>
        <rFont val="宋体"/>
        <family val="0"/>
      </rPr>
      <t>科学技术支出</t>
    </r>
  </si>
  <si>
    <r>
      <rPr>
        <sz val="11"/>
        <rFont val="宋体"/>
        <family val="0"/>
      </rPr>
      <t>文化体育与传媒支出</t>
    </r>
  </si>
  <si>
    <r>
      <rPr>
        <sz val="11"/>
        <rFont val="宋体"/>
        <family val="0"/>
      </rPr>
      <t>社会保障和就业支出</t>
    </r>
  </si>
  <si>
    <r>
      <rPr>
        <sz val="11"/>
        <rFont val="宋体"/>
        <family val="0"/>
      </rPr>
      <t>医疗卫生与计划生育支出</t>
    </r>
  </si>
  <si>
    <r>
      <rPr>
        <sz val="11"/>
        <rFont val="宋体"/>
        <family val="0"/>
      </rPr>
      <t>节能环保支出</t>
    </r>
  </si>
  <si>
    <r>
      <rPr>
        <sz val="11"/>
        <rFont val="宋体"/>
        <family val="0"/>
      </rPr>
      <t>城乡社区支出</t>
    </r>
  </si>
  <si>
    <r>
      <rPr>
        <sz val="11"/>
        <rFont val="宋体"/>
        <family val="0"/>
      </rPr>
      <t>农林水支出</t>
    </r>
  </si>
  <si>
    <r>
      <rPr>
        <sz val="11"/>
        <rFont val="宋体"/>
        <family val="0"/>
      </rPr>
      <t>交通运输支出</t>
    </r>
  </si>
  <si>
    <r>
      <rPr>
        <sz val="11"/>
        <rFont val="宋体"/>
        <family val="0"/>
      </rPr>
      <t>资源勘探信息等支出</t>
    </r>
  </si>
  <si>
    <r>
      <rPr>
        <sz val="11"/>
        <rFont val="宋体"/>
        <family val="0"/>
      </rPr>
      <t>商业服务业等支出</t>
    </r>
  </si>
  <si>
    <r>
      <rPr>
        <sz val="11"/>
        <rFont val="宋体"/>
        <family val="0"/>
      </rPr>
      <t>金融支出</t>
    </r>
  </si>
  <si>
    <r>
      <rPr>
        <sz val="11"/>
        <rFont val="宋体"/>
        <family val="0"/>
      </rPr>
      <t>援助其他地区支出</t>
    </r>
  </si>
  <si>
    <r>
      <rPr>
        <sz val="11"/>
        <rFont val="宋体"/>
        <family val="0"/>
      </rPr>
      <t>国土海洋气象等支出</t>
    </r>
  </si>
  <si>
    <r>
      <rPr>
        <sz val="11"/>
        <rFont val="宋体"/>
        <family val="0"/>
      </rPr>
      <t>住房保障支出</t>
    </r>
  </si>
  <si>
    <r>
      <rPr>
        <sz val="11"/>
        <rFont val="宋体"/>
        <family val="0"/>
      </rPr>
      <t>粮油物资储备支出</t>
    </r>
  </si>
  <si>
    <t>地方一般债务付息支出</t>
  </si>
  <si>
    <r>
      <rPr>
        <sz val="11"/>
        <rFont val="宋体"/>
        <family val="0"/>
      </rPr>
      <t>其他支出</t>
    </r>
  </si>
  <si>
    <r>
      <rPr>
        <b/>
        <sz val="11"/>
        <rFont val="宋体"/>
        <family val="0"/>
      </rPr>
      <t>合</t>
    </r>
    <r>
      <rPr>
        <b/>
        <sz val="11"/>
        <rFont val="Times New Roman"/>
        <family val="1"/>
      </rPr>
      <t xml:space="preserve">         </t>
    </r>
    <r>
      <rPr>
        <b/>
        <sz val="11"/>
        <rFont val="宋体"/>
        <family val="0"/>
      </rPr>
      <t>计</t>
    </r>
  </si>
  <si>
    <t>2016年市本级一般公共预算收入预算执行情况</t>
  </si>
  <si>
    <r>
      <rPr>
        <sz val="11"/>
        <rFont val="宋体"/>
        <family val="0"/>
      </rPr>
      <t>单位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万元</t>
    </r>
  </si>
  <si>
    <r>
      <t>说明：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、根据《关于全面推开营业税改征增值税试点有关预算管理问题的通知》（湘财预</t>
    </r>
    <r>
      <rPr>
        <sz val="10"/>
        <rFont val="Times New Roman"/>
        <family val="1"/>
      </rPr>
      <t>[2016]48</t>
    </r>
    <r>
      <rPr>
        <sz val="10"/>
        <rFont val="宋体"/>
        <family val="0"/>
      </rPr>
      <t>号），自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日起，全面推开营改增试点，同时调整中央与地方增值税收入划分办法，中央、省、市县增值税按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12.5%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37.5%</t>
    </r>
    <r>
      <rPr>
        <sz val="10"/>
        <rFont val="宋体"/>
        <family val="0"/>
      </rPr>
      <t>比例分享。如考虑营改增因素，则增值税（含营业税）比上年同口径下降</t>
    </r>
    <r>
      <rPr>
        <sz val="10"/>
        <rFont val="Times New Roman"/>
        <family val="1"/>
      </rPr>
      <t>26.93%</t>
    </r>
    <r>
      <rPr>
        <sz val="10"/>
        <rFont val="宋体"/>
        <family val="0"/>
      </rPr>
      <t>。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、收入总计完成</t>
    </r>
    <r>
      <rPr>
        <sz val="10"/>
        <rFont val="Times New Roman"/>
        <family val="1"/>
      </rPr>
      <t>231047</t>
    </r>
    <r>
      <rPr>
        <sz val="10"/>
        <rFont val="宋体"/>
        <family val="0"/>
      </rPr>
      <t>万元，同口径比上年增长</t>
    </r>
    <r>
      <rPr>
        <sz val="10"/>
        <rFont val="Times New Roman"/>
        <family val="1"/>
      </rPr>
      <t xml:space="preserve">6.91% </t>
    </r>
    <r>
      <rPr>
        <sz val="10"/>
        <rFont val="宋体"/>
        <family val="0"/>
      </rPr>
      <t>。</t>
    </r>
  </si>
  <si>
    <t>2016年市本级一般公共预算支出预算执行情况</t>
  </si>
  <si>
    <r>
      <rPr>
        <sz val="12"/>
        <rFont val="宋体"/>
        <family val="0"/>
      </rPr>
      <t>单位：万元</t>
    </r>
  </si>
  <si>
    <r>
      <rPr>
        <sz val="11"/>
        <rFont val="宋体"/>
        <family val="0"/>
      </rPr>
      <t>比上年增长</t>
    </r>
    <r>
      <rPr>
        <sz val="11"/>
        <rFont val="Times New Roman"/>
        <family val="1"/>
      </rPr>
      <t>%</t>
    </r>
  </si>
  <si>
    <r>
      <t>2016</t>
    </r>
    <r>
      <rPr>
        <sz val="11"/>
        <rFont val="宋体"/>
        <family val="0"/>
      </rPr>
      <t>年预计完成数</t>
    </r>
  </si>
  <si>
    <r>
      <t>2016</t>
    </r>
    <r>
      <rPr>
        <sz val="10"/>
        <rFont val="宋体"/>
        <family val="0"/>
      </rPr>
      <t>年
预计完成数</t>
    </r>
  </si>
  <si>
    <t>2016年益阳市(汇总)政府性基金收入预算执行情况</t>
  </si>
  <si>
    <r>
      <rPr>
        <sz val="11"/>
        <rFont val="宋体"/>
        <family val="0"/>
      </rPr>
      <t>收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入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项  目</t>
    </r>
  </si>
  <si>
    <r>
      <rPr>
        <sz val="11"/>
        <rFont val="宋体"/>
        <family val="0"/>
      </rPr>
      <t>完成预算</t>
    </r>
    <r>
      <rPr>
        <sz val="11"/>
        <rFont val="Times New Roman"/>
        <family val="1"/>
      </rPr>
      <t>%</t>
    </r>
  </si>
  <si>
    <r>
      <rPr>
        <sz val="11"/>
        <rFont val="宋体"/>
        <family val="0"/>
      </rPr>
      <t>比上年增长％</t>
    </r>
  </si>
  <si>
    <t>散装水泥专项资金收入</t>
  </si>
  <si>
    <t>新型墙体材料专项基金收入</t>
  </si>
  <si>
    <t>政府住房基金收入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</si>
  <si>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</si>
  <si>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</si>
  <si>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</si>
  <si>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</si>
  <si>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</si>
  <si>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</si>
  <si>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</si>
  <si>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</si>
  <si>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</si>
  <si>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</si>
  <si>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无线电频率占用费</t>
  </si>
  <si>
    <t>水土保持补偿费收入</t>
  </si>
  <si>
    <t>其他政府性基金收入</t>
  </si>
  <si>
    <t>污水处理费收入</t>
  </si>
  <si>
    <t>合 计</t>
  </si>
  <si>
    <r>
      <rPr>
        <sz val="10"/>
        <rFont val="宋体"/>
        <family val="0"/>
      </rPr>
      <t>说明：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、根据《财政部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中国人民银行关于等修订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年政府收支分类科目的通知》（财预</t>
    </r>
    <r>
      <rPr>
        <sz val="10"/>
        <rFont val="Times New Roman"/>
        <family val="1"/>
      </rPr>
      <t>[2015]21</t>
    </r>
    <r>
      <rPr>
        <sz val="10"/>
        <rFont val="宋体"/>
        <family val="0"/>
      </rPr>
      <t>号）规定，从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年起，一般公共预算管理的污水处理费收入、水土保持补偿费收入转列政府性基金预算管理。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           2</t>
    </r>
    <r>
      <rPr>
        <sz val="10"/>
        <rFont val="宋体"/>
        <family val="0"/>
      </rPr>
      <t>、根据《财政部关于完善政府预算体系有关问题的通知》（财预</t>
    </r>
    <r>
      <rPr>
        <sz val="10"/>
        <rFont val="Times New Roman"/>
        <family val="1"/>
      </rPr>
      <t>[2014]368</t>
    </r>
    <r>
      <rPr>
        <sz val="10"/>
        <rFont val="宋体"/>
        <family val="0"/>
      </rPr>
      <t>号），从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日起，将船舶港务费、地方教育附加、残疾人就业保障金、地方水利建设基金等基金收入转列一般公共预算管理，为同口径比较，比上年增幅不含上述数据。
</t>
    </r>
    <r>
      <rPr>
        <sz val="10"/>
        <rFont val="Times New Roman"/>
        <family val="1"/>
      </rPr>
      <t xml:space="preserve">         3</t>
    </r>
    <r>
      <rPr>
        <sz val="10"/>
        <rFont val="宋体"/>
        <family val="0"/>
      </rPr>
      <t>、根据《财政部关于取消、停征和整合部分政府性基金项目等有关问题的通知》（财税</t>
    </r>
    <r>
      <rPr>
        <sz val="10"/>
        <rFont val="Times New Roman"/>
        <family val="1"/>
      </rPr>
      <t>[2016]11</t>
    </r>
    <r>
      <rPr>
        <sz val="10"/>
        <rFont val="宋体"/>
        <family val="0"/>
      </rPr>
      <t>号）文件精神，从今年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日起，停征价格调节基金和散装水泥专项资金。</t>
    </r>
  </si>
  <si>
    <t>2016年益阳市(汇总)政府性基金支出预算执行情况</t>
  </si>
  <si>
    <r>
      <t xml:space="preserve">     </t>
    </r>
    <r>
      <rPr>
        <sz val="12"/>
        <rFont val="宋体"/>
        <family val="0"/>
      </rPr>
      <t>单位：万元</t>
    </r>
  </si>
  <si>
    <t>支出功能科目分类</t>
  </si>
  <si>
    <t>调整预算</t>
  </si>
  <si>
    <r>
      <t>2016</t>
    </r>
    <r>
      <rPr>
        <sz val="12"/>
        <rFont val="宋体"/>
        <family val="0"/>
      </rPr>
      <t>年
预计完成数</t>
    </r>
  </si>
  <si>
    <r>
      <t>完成预算</t>
    </r>
    <r>
      <rPr>
        <sz val="12"/>
        <rFont val="Times New Roman"/>
        <family val="1"/>
      </rPr>
      <t>%</t>
    </r>
  </si>
  <si>
    <r>
      <t>2015</t>
    </r>
    <r>
      <rPr>
        <sz val="12"/>
        <rFont val="宋体"/>
        <family val="0"/>
      </rPr>
      <t>年完成数</t>
    </r>
  </si>
  <si>
    <r>
      <t>比上年
增长</t>
    </r>
    <r>
      <rPr>
        <sz val="12"/>
        <rFont val="Times New Roman"/>
        <family val="1"/>
      </rPr>
      <t>%</t>
    </r>
  </si>
  <si>
    <t>文化体育与传媒支出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</si>
  <si>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</si>
  <si>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</si>
  <si>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</si>
  <si>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</si>
  <si>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</si>
  <si>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</si>
  <si>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</si>
  <si>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其他支出</t>
  </si>
  <si>
    <t>支出合计</t>
  </si>
  <si>
    <t>2016年市本级政府性基金收入预算执行情况</t>
  </si>
  <si>
    <r>
      <rPr>
        <sz val="10"/>
        <rFont val="宋体"/>
        <family val="0"/>
      </rPr>
      <t>说明：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、根据《财政部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中国人民银行关于等修订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年政府收支分类科目的通知》（财预</t>
    </r>
    <r>
      <rPr>
        <sz val="10"/>
        <rFont val="Times New Roman"/>
        <family val="1"/>
      </rPr>
      <t>[2015]21</t>
    </r>
    <r>
      <rPr>
        <sz val="10"/>
        <rFont val="宋体"/>
        <family val="0"/>
      </rPr>
      <t>号）规定，从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年起，一般公共预算管理的污水处理费收入、水土保持补偿费收入转列政府性基金预算管理。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           2</t>
    </r>
    <r>
      <rPr>
        <sz val="10"/>
        <rFont val="宋体"/>
        <family val="0"/>
      </rPr>
      <t>、根据《财政部关于完善政府预算体系有关问题的通知》（财预</t>
    </r>
    <r>
      <rPr>
        <sz val="10"/>
        <rFont val="Times New Roman"/>
        <family val="1"/>
      </rPr>
      <t>[2014]368</t>
    </r>
    <r>
      <rPr>
        <sz val="10"/>
        <rFont val="宋体"/>
        <family val="0"/>
      </rPr>
      <t>号），从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日起，将船舶港务费、地方教育附加、残疾人就业保障金、地方水利建设基金等基金收入转列一般公共预算管理，为同口径比较，比上年增幅不含上述数据。
</t>
    </r>
    <r>
      <rPr>
        <sz val="10"/>
        <rFont val="Times New Roman"/>
        <family val="1"/>
      </rPr>
      <t xml:space="preserve">           3</t>
    </r>
    <r>
      <rPr>
        <sz val="10"/>
        <rFont val="宋体"/>
        <family val="0"/>
      </rPr>
      <t>、根据《财政部关于取消、停征和整合部分政府性基金项目等有关问题的通知》（财税</t>
    </r>
    <r>
      <rPr>
        <sz val="10"/>
        <rFont val="Times New Roman"/>
        <family val="1"/>
      </rPr>
      <t>[2016]11</t>
    </r>
    <r>
      <rPr>
        <sz val="10"/>
        <rFont val="宋体"/>
        <family val="0"/>
      </rPr>
      <t>号）文件精神，从今年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日起，停征价格调节基金和散装水泥专项资金。</t>
    </r>
  </si>
  <si>
    <t>2016年市本级政府性基金支出预算执行情况</t>
  </si>
  <si>
    <r>
      <rPr>
        <sz val="10.5"/>
        <rFont val="宋体"/>
        <family val="0"/>
      </rPr>
      <t>单位：万元</t>
    </r>
  </si>
  <si>
    <r>
      <t>2015</t>
    </r>
    <r>
      <rPr>
        <sz val="11"/>
        <rFont val="宋体"/>
        <family val="0"/>
      </rPr>
      <t>年完成数</t>
    </r>
  </si>
  <si>
    <t>一、文化体育与传媒支出</t>
  </si>
  <si>
    <t>二、社会保障和就业支出</t>
  </si>
  <si>
    <t>2016年市本级国有资本经营预算收支总表</t>
  </si>
  <si>
    <t>单位：万元</t>
  </si>
  <si>
    <r>
      <t>收</t>
    </r>
    <r>
      <rPr>
        <b/>
        <sz val="11"/>
        <color indexed="8"/>
        <rFont val="Times New Roman"/>
        <family val="1"/>
      </rPr>
      <t xml:space="preserve">          </t>
    </r>
    <r>
      <rPr>
        <b/>
        <sz val="11"/>
        <color indexed="8"/>
        <rFont val="宋体"/>
        <family val="0"/>
      </rPr>
      <t>入</t>
    </r>
  </si>
  <si>
    <r>
      <t>支</t>
    </r>
    <r>
      <rPr>
        <b/>
        <sz val="11"/>
        <color indexed="8"/>
        <rFont val="Times New Roman"/>
        <family val="1"/>
      </rPr>
      <t xml:space="preserve">          </t>
    </r>
    <r>
      <rPr>
        <b/>
        <sz val="11"/>
        <color indexed="8"/>
        <rFont val="宋体"/>
        <family val="0"/>
      </rPr>
      <t>出</t>
    </r>
  </si>
  <si>
    <r>
      <rPr>
        <sz val="11"/>
        <color indexed="8"/>
        <rFont val="宋体"/>
        <family val="0"/>
      </rPr>
      <t>项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宋体"/>
        <family val="0"/>
      </rPr>
      <t>目</t>
    </r>
  </si>
  <si>
    <r>
      <t xml:space="preserve">2016 </t>
    </r>
    <r>
      <rPr>
        <sz val="11"/>
        <color indexed="8"/>
        <rFont val="宋体"/>
        <family val="0"/>
      </rPr>
      <t>年执行数</t>
    </r>
  </si>
  <si>
    <r>
      <t>2016</t>
    </r>
    <r>
      <rPr>
        <sz val="11"/>
        <color indexed="8"/>
        <rFont val="宋体"/>
        <family val="0"/>
      </rPr>
      <t>年执行数</t>
    </r>
  </si>
  <si>
    <t>一、利润收入</t>
  </si>
  <si>
    <r>
      <rPr>
        <sz val="11"/>
        <color indexed="8"/>
        <rFont val="宋体"/>
        <family val="0"/>
      </rPr>
      <t>一、教育支出</t>
    </r>
  </si>
  <si>
    <r>
      <t xml:space="preserve">    </t>
    </r>
    <r>
      <rPr>
        <sz val="11"/>
        <color indexed="8"/>
        <rFont val="宋体"/>
        <family val="0"/>
      </rPr>
      <t>投资服务企业利润收入</t>
    </r>
  </si>
  <si>
    <r>
      <rPr>
        <sz val="11"/>
        <color indexed="8"/>
        <rFont val="宋体"/>
        <family val="0"/>
      </rPr>
      <t>二、科学技术支出</t>
    </r>
  </si>
  <si>
    <r>
      <t xml:space="preserve">    </t>
    </r>
    <r>
      <rPr>
        <sz val="11"/>
        <color indexed="8"/>
        <rFont val="宋体"/>
        <family val="0"/>
      </rPr>
      <t>石油石化企业利润收入</t>
    </r>
  </si>
  <si>
    <r>
      <rPr>
        <sz val="11"/>
        <color indexed="8"/>
        <rFont val="宋体"/>
        <family val="0"/>
      </rPr>
      <t>三、文化体育与传媒支出</t>
    </r>
  </si>
  <si>
    <r>
      <t xml:space="preserve">    </t>
    </r>
    <r>
      <rPr>
        <sz val="11"/>
        <color indexed="8"/>
        <rFont val="宋体"/>
        <family val="0"/>
      </rPr>
      <t>其他国有资本经营预算企业利润收入</t>
    </r>
  </si>
  <si>
    <r>
      <rPr>
        <sz val="11"/>
        <color indexed="8"/>
        <rFont val="宋体"/>
        <family val="0"/>
      </rPr>
      <t>四、社会保障和就业支出</t>
    </r>
  </si>
  <si>
    <r>
      <rPr>
        <sz val="11"/>
        <color indexed="8"/>
        <rFont val="宋体"/>
        <family val="0"/>
      </rPr>
      <t>二、股利、股息收入</t>
    </r>
  </si>
  <si>
    <r>
      <rPr>
        <sz val="11"/>
        <color indexed="8"/>
        <rFont val="宋体"/>
        <family val="0"/>
      </rPr>
      <t>五、节能环保支出</t>
    </r>
  </si>
  <si>
    <r>
      <t xml:space="preserve">          </t>
    </r>
    <r>
      <rPr>
        <sz val="11"/>
        <color indexed="8"/>
        <rFont val="宋体"/>
        <family val="0"/>
      </rPr>
      <t>国有控股公司股利、股息收入</t>
    </r>
  </si>
  <si>
    <r>
      <rPr>
        <sz val="11"/>
        <color indexed="8"/>
        <rFont val="宋体"/>
        <family val="0"/>
      </rPr>
      <t>六、城乡社区事务支出</t>
    </r>
  </si>
  <si>
    <r>
      <t xml:space="preserve">          </t>
    </r>
    <r>
      <rPr>
        <sz val="11"/>
        <color indexed="8"/>
        <rFont val="宋体"/>
        <family val="0"/>
      </rPr>
      <t>国有参股公司股利、股息收入</t>
    </r>
  </si>
  <si>
    <r>
      <rPr>
        <sz val="11"/>
        <color indexed="8"/>
        <rFont val="宋体"/>
        <family val="0"/>
      </rPr>
      <t>七、农林水支出</t>
    </r>
  </si>
  <si>
    <r>
      <t xml:space="preserve">          </t>
    </r>
    <r>
      <rPr>
        <sz val="11"/>
        <color indexed="8"/>
        <rFont val="宋体"/>
        <family val="0"/>
      </rPr>
      <t>其他国有资本经营预算企业股利、股息收入</t>
    </r>
  </si>
  <si>
    <r>
      <rPr>
        <sz val="11"/>
        <color indexed="8"/>
        <rFont val="宋体"/>
        <family val="0"/>
      </rPr>
      <t>八、交通运输支出</t>
    </r>
  </si>
  <si>
    <r>
      <rPr>
        <sz val="11"/>
        <color indexed="8"/>
        <rFont val="宋体"/>
        <family val="0"/>
      </rPr>
      <t>三、产权转让收入</t>
    </r>
  </si>
  <si>
    <r>
      <rPr>
        <sz val="11"/>
        <color indexed="8"/>
        <rFont val="宋体"/>
        <family val="0"/>
      </rPr>
      <t>九、资源勘探电力信息等支出</t>
    </r>
  </si>
  <si>
    <t xml:space="preserve">       ……</t>
  </si>
  <si>
    <r>
      <rPr>
        <sz val="11"/>
        <color indexed="8"/>
        <rFont val="宋体"/>
        <family val="0"/>
      </rPr>
      <t>十、商业服务业等支出</t>
    </r>
  </si>
  <si>
    <r>
      <rPr>
        <sz val="11"/>
        <color indexed="8"/>
        <rFont val="宋体"/>
        <family val="0"/>
      </rPr>
      <t>四、清算收入</t>
    </r>
  </si>
  <si>
    <r>
      <rPr>
        <sz val="11"/>
        <color indexed="8"/>
        <rFont val="宋体"/>
        <family val="0"/>
      </rPr>
      <t>十一、其他支出</t>
    </r>
  </si>
  <si>
    <r>
      <rPr>
        <sz val="11"/>
        <color indexed="8"/>
        <rFont val="宋体"/>
        <family val="0"/>
      </rPr>
      <t>十二、转移性支出</t>
    </r>
  </si>
  <si>
    <r>
      <rPr>
        <sz val="11"/>
        <color indexed="8"/>
        <rFont val="宋体"/>
        <family val="0"/>
      </rPr>
      <t>五、其他国有资本经营收入</t>
    </r>
  </si>
  <si>
    <r>
      <t xml:space="preserve">    1</t>
    </r>
    <r>
      <rPr>
        <sz val="11"/>
        <color indexed="8"/>
        <rFont val="宋体"/>
        <family val="0"/>
      </rPr>
      <t>、国有资本经营预算调出资金</t>
    </r>
  </si>
  <si>
    <r>
      <rPr>
        <sz val="11"/>
        <color indexed="8"/>
        <rFont val="宋体"/>
        <family val="0"/>
      </rPr>
      <t>本年收入合计</t>
    </r>
  </si>
  <si>
    <r>
      <rPr>
        <sz val="11"/>
        <color indexed="8"/>
        <rFont val="宋体"/>
        <family val="0"/>
      </rPr>
      <t>本年支出合计</t>
    </r>
  </si>
  <si>
    <r>
      <rPr>
        <sz val="11"/>
        <color indexed="8"/>
        <rFont val="宋体"/>
        <family val="0"/>
      </rPr>
      <t>上年结转</t>
    </r>
  </si>
  <si>
    <r>
      <rPr>
        <sz val="11"/>
        <color indexed="8"/>
        <rFont val="宋体"/>
        <family val="0"/>
      </rPr>
      <t>结转下年</t>
    </r>
  </si>
  <si>
    <r>
      <rPr>
        <b/>
        <sz val="11"/>
        <color indexed="8"/>
        <rFont val="宋体"/>
        <family val="0"/>
      </rPr>
      <t>收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入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总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计</t>
    </r>
  </si>
  <si>
    <r>
      <rPr>
        <b/>
        <sz val="11"/>
        <color indexed="8"/>
        <rFont val="宋体"/>
        <family val="0"/>
      </rPr>
      <t>支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出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总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计</t>
    </r>
  </si>
  <si>
    <t>2016年市本级社会保险基金预算执行情况表</t>
  </si>
  <si>
    <r>
      <t xml:space="preserve">      </t>
    </r>
    <r>
      <rPr>
        <sz val="12"/>
        <color indexed="8"/>
        <rFont val="宋体"/>
        <family val="0"/>
      </rPr>
      <t>单位：万元</t>
    </r>
  </si>
  <si>
    <r>
      <rPr>
        <b/>
        <sz val="11"/>
        <color indexed="8"/>
        <rFont val="宋体"/>
        <family val="0"/>
      </rPr>
      <t>项</t>
    </r>
    <r>
      <rPr>
        <b/>
        <sz val="11"/>
        <color indexed="8"/>
        <rFont val="Times New Roman"/>
        <family val="1"/>
      </rPr>
      <t xml:space="preserve">        </t>
    </r>
    <r>
      <rPr>
        <b/>
        <sz val="11"/>
        <color indexed="8"/>
        <rFont val="宋体"/>
        <family val="0"/>
      </rPr>
      <t>目</t>
    </r>
  </si>
  <si>
    <r>
      <rPr>
        <b/>
        <sz val="11"/>
        <color indexed="8"/>
        <rFont val="宋体"/>
        <family val="0"/>
      </rPr>
      <t>合计</t>
    </r>
  </si>
  <si>
    <r>
      <rPr>
        <b/>
        <sz val="11"/>
        <color indexed="8"/>
        <rFont val="宋体"/>
        <family val="0"/>
      </rPr>
      <t>企业职工基本养老保险基金</t>
    </r>
  </si>
  <si>
    <r>
      <rPr>
        <b/>
        <sz val="11"/>
        <color indexed="8"/>
        <rFont val="宋体"/>
        <family val="0"/>
      </rPr>
      <t>机关事业养老保险基金</t>
    </r>
  </si>
  <si>
    <r>
      <rPr>
        <b/>
        <sz val="11"/>
        <color indexed="8"/>
        <rFont val="宋体"/>
        <family val="0"/>
      </rPr>
      <t>失业保
险基金</t>
    </r>
  </si>
  <si>
    <r>
      <rPr>
        <b/>
        <sz val="11"/>
        <color indexed="8"/>
        <rFont val="宋体"/>
        <family val="0"/>
      </rPr>
      <t>城镇职工基本医疗保险基金</t>
    </r>
  </si>
  <si>
    <r>
      <rPr>
        <b/>
        <sz val="11"/>
        <color indexed="8"/>
        <rFont val="宋体"/>
        <family val="0"/>
      </rPr>
      <t>工伤保
险基金</t>
    </r>
  </si>
  <si>
    <r>
      <rPr>
        <b/>
        <sz val="11"/>
        <color indexed="8"/>
        <rFont val="宋体"/>
        <family val="0"/>
      </rPr>
      <t>生育保险基金</t>
    </r>
  </si>
  <si>
    <r>
      <rPr>
        <sz val="11"/>
        <color indexed="8"/>
        <rFont val="宋体"/>
        <family val="0"/>
      </rPr>
      <t>一、上年结余</t>
    </r>
  </si>
  <si>
    <r>
      <rPr>
        <sz val="11"/>
        <color indexed="8"/>
        <rFont val="宋体"/>
        <family val="0"/>
      </rPr>
      <t>二、本年收入</t>
    </r>
  </si>
  <si>
    <r>
      <t xml:space="preserve">    </t>
    </r>
    <r>
      <rPr>
        <sz val="11"/>
        <color indexed="8"/>
        <rFont val="宋体"/>
        <family val="0"/>
      </rPr>
      <t>其中：</t>
    </r>
    <r>
      <rPr>
        <sz val="11"/>
        <color indexed="8"/>
        <rFont val="Times New Roman"/>
        <family val="1"/>
      </rPr>
      <t xml:space="preserve"> 1</t>
    </r>
    <r>
      <rPr>
        <sz val="11"/>
        <color indexed="8"/>
        <rFont val="宋体"/>
        <family val="0"/>
      </rPr>
      <t>、保险费收入</t>
    </r>
  </si>
  <si>
    <r>
      <t xml:space="preserve">                2</t>
    </r>
    <r>
      <rPr>
        <sz val="11"/>
        <color indexed="8"/>
        <rFont val="宋体"/>
        <family val="0"/>
      </rPr>
      <t>、利息收入</t>
    </r>
  </si>
  <si>
    <r>
      <t xml:space="preserve">                3</t>
    </r>
    <r>
      <rPr>
        <sz val="11"/>
        <color indexed="8"/>
        <rFont val="宋体"/>
        <family val="0"/>
      </rPr>
      <t>、财政补贴收入</t>
    </r>
  </si>
  <si>
    <r>
      <t xml:space="preserve">                4</t>
    </r>
    <r>
      <rPr>
        <sz val="11"/>
        <color indexed="8"/>
        <rFont val="宋体"/>
        <family val="0"/>
      </rPr>
      <t>、其他收入</t>
    </r>
  </si>
  <si>
    <r>
      <t xml:space="preserve">                5</t>
    </r>
    <r>
      <rPr>
        <sz val="11"/>
        <color indexed="8"/>
        <rFont val="宋体"/>
        <family val="0"/>
      </rPr>
      <t>、转移收入</t>
    </r>
  </si>
  <si>
    <r>
      <t xml:space="preserve">                6</t>
    </r>
    <r>
      <rPr>
        <sz val="11"/>
        <color indexed="8"/>
        <rFont val="宋体"/>
        <family val="0"/>
      </rPr>
      <t>、上级补助收入</t>
    </r>
  </si>
  <si>
    <r>
      <t xml:space="preserve">                7</t>
    </r>
    <r>
      <rPr>
        <sz val="11"/>
        <color indexed="8"/>
        <rFont val="宋体"/>
        <family val="0"/>
      </rPr>
      <t>、下级上解收入</t>
    </r>
  </si>
  <si>
    <r>
      <rPr>
        <sz val="11"/>
        <color indexed="8"/>
        <rFont val="宋体"/>
        <family val="0"/>
      </rPr>
      <t>三、本年支出</t>
    </r>
  </si>
  <si>
    <r>
      <t xml:space="preserve">    </t>
    </r>
    <r>
      <rPr>
        <sz val="11"/>
        <color indexed="8"/>
        <rFont val="宋体"/>
        <family val="0"/>
      </rPr>
      <t>其中：</t>
    </r>
    <r>
      <rPr>
        <sz val="11"/>
        <color indexed="8"/>
        <rFont val="Times New Roman"/>
        <family val="1"/>
      </rPr>
      <t xml:space="preserve"> 1</t>
    </r>
    <r>
      <rPr>
        <sz val="11"/>
        <color indexed="8"/>
        <rFont val="宋体"/>
        <family val="0"/>
      </rPr>
      <t>、社会保险待遇支出</t>
    </r>
  </si>
  <si>
    <r>
      <t xml:space="preserve">                2</t>
    </r>
    <r>
      <rPr>
        <sz val="11"/>
        <color indexed="8"/>
        <rFont val="宋体"/>
        <family val="0"/>
      </rPr>
      <t>、其他支出</t>
    </r>
  </si>
  <si>
    <r>
      <t xml:space="preserve">                3</t>
    </r>
    <r>
      <rPr>
        <sz val="11"/>
        <color indexed="8"/>
        <rFont val="宋体"/>
        <family val="0"/>
      </rPr>
      <t>、转移支出</t>
    </r>
  </si>
  <si>
    <r>
      <t xml:space="preserve">                4</t>
    </r>
    <r>
      <rPr>
        <sz val="11"/>
        <color indexed="8"/>
        <rFont val="宋体"/>
        <family val="0"/>
      </rPr>
      <t>、补助下级支出</t>
    </r>
  </si>
  <si>
    <r>
      <t xml:space="preserve">                5</t>
    </r>
    <r>
      <rPr>
        <sz val="11"/>
        <color indexed="8"/>
        <rFont val="宋体"/>
        <family val="0"/>
      </rPr>
      <t>、上解上级支出</t>
    </r>
  </si>
  <si>
    <r>
      <rPr>
        <sz val="11"/>
        <color indexed="8"/>
        <rFont val="宋体"/>
        <family val="0"/>
      </rPr>
      <t>四、本年收支结余</t>
    </r>
  </si>
  <si>
    <r>
      <rPr>
        <sz val="11"/>
        <color indexed="8"/>
        <rFont val="宋体"/>
        <family val="0"/>
      </rPr>
      <t>五、年末滚存结余</t>
    </r>
  </si>
  <si>
    <t>2016年市本级企业职工基本养老保险基金预算执行表</t>
  </si>
  <si>
    <r>
      <rPr>
        <sz val="11"/>
        <color indexed="8"/>
        <rFont val="宋体"/>
        <family val="0"/>
      </rPr>
      <t>单位：万元</t>
    </r>
  </si>
  <si>
    <r>
      <rPr>
        <sz val="11"/>
        <color indexed="8"/>
        <rFont val="宋体"/>
        <family val="0"/>
      </rPr>
      <t>项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0"/>
      </rPr>
      <t>目</t>
    </r>
  </si>
  <si>
    <r>
      <t>2016</t>
    </r>
    <r>
      <rPr>
        <sz val="11"/>
        <color indexed="8"/>
        <rFont val="宋体"/>
        <family val="0"/>
      </rPr>
      <t>年
预算数</t>
    </r>
  </si>
  <si>
    <r>
      <t>2016</t>
    </r>
    <r>
      <rPr>
        <sz val="11"/>
        <color indexed="8"/>
        <rFont val="宋体"/>
        <family val="0"/>
      </rPr>
      <t>年
预计执行数</t>
    </r>
  </si>
  <si>
    <r>
      <t>完成预算</t>
    </r>
    <r>
      <rPr>
        <sz val="11"/>
        <color indexed="8"/>
        <rFont val="Times New Roman"/>
        <family val="1"/>
      </rPr>
      <t>%</t>
    </r>
  </si>
  <si>
    <r>
      <rPr>
        <sz val="11"/>
        <color indexed="8"/>
        <rFont val="宋体"/>
        <family val="0"/>
      </rPr>
      <t>项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目</t>
    </r>
  </si>
  <si>
    <r>
      <rPr>
        <sz val="11"/>
        <color indexed="8"/>
        <rFont val="宋体"/>
        <family val="0"/>
      </rPr>
      <t>一、基本养老保险费收入</t>
    </r>
  </si>
  <si>
    <r>
      <rPr>
        <sz val="11"/>
        <color indexed="8"/>
        <rFont val="宋体"/>
        <family val="0"/>
      </rPr>
      <t>一、基本养老金支出</t>
    </r>
  </si>
  <si>
    <r>
      <rPr>
        <sz val="11"/>
        <color indexed="8"/>
        <rFont val="宋体"/>
        <family val="0"/>
      </rPr>
      <t>二、利息收入</t>
    </r>
  </si>
  <si>
    <r>
      <rPr>
        <sz val="11"/>
        <color indexed="8"/>
        <rFont val="宋体"/>
        <family val="0"/>
      </rPr>
      <t>二、医疗补助金支出</t>
    </r>
  </si>
  <si>
    <r>
      <rPr>
        <sz val="11"/>
        <color indexed="8"/>
        <rFont val="宋体"/>
        <family val="0"/>
      </rPr>
      <t>三、财政补贴收入</t>
    </r>
  </si>
  <si>
    <r>
      <rPr>
        <sz val="11"/>
        <color indexed="8"/>
        <rFont val="宋体"/>
        <family val="0"/>
      </rPr>
      <t>三、丧葬抚恤补助支出</t>
    </r>
  </si>
  <si>
    <r>
      <rPr>
        <sz val="11"/>
        <color indexed="8"/>
        <rFont val="宋体"/>
        <family val="0"/>
      </rPr>
      <t>四、转移收入</t>
    </r>
  </si>
  <si>
    <r>
      <rPr>
        <sz val="11"/>
        <color indexed="8"/>
        <rFont val="宋体"/>
        <family val="0"/>
      </rPr>
      <t>四、转移支出</t>
    </r>
  </si>
  <si>
    <r>
      <rPr>
        <sz val="11"/>
        <color indexed="8"/>
        <rFont val="宋体"/>
        <family val="0"/>
      </rPr>
      <t>五、上级补助收入</t>
    </r>
  </si>
  <si>
    <r>
      <rPr>
        <sz val="11"/>
        <color indexed="8"/>
        <rFont val="宋体"/>
        <family val="0"/>
      </rPr>
      <t>五、补助下级支出</t>
    </r>
  </si>
  <si>
    <r>
      <rPr>
        <sz val="11"/>
        <color indexed="8"/>
        <rFont val="宋体"/>
        <family val="0"/>
      </rPr>
      <t>六、下级上解收入</t>
    </r>
  </si>
  <si>
    <r>
      <rPr>
        <sz val="11"/>
        <color indexed="8"/>
        <rFont val="宋体"/>
        <family val="0"/>
      </rPr>
      <t>六、上解上级支出</t>
    </r>
  </si>
  <si>
    <r>
      <rPr>
        <sz val="11"/>
        <color indexed="8"/>
        <rFont val="宋体"/>
        <family val="0"/>
      </rPr>
      <t>七、其他收入</t>
    </r>
  </si>
  <si>
    <r>
      <rPr>
        <sz val="11"/>
        <color indexed="8"/>
        <rFont val="宋体"/>
        <family val="0"/>
      </rPr>
      <t>七、其他支出</t>
    </r>
  </si>
  <si>
    <r>
      <rPr>
        <sz val="11"/>
        <color indexed="8"/>
        <rFont val="宋体"/>
        <family val="0"/>
      </rPr>
      <t>八、本年收入合计</t>
    </r>
  </si>
  <si>
    <r>
      <rPr>
        <sz val="11"/>
        <color indexed="8"/>
        <rFont val="宋体"/>
        <family val="0"/>
      </rPr>
      <t>八、本年支出合计</t>
    </r>
  </si>
  <si>
    <r>
      <rPr>
        <sz val="11"/>
        <color indexed="8"/>
        <rFont val="宋体"/>
        <family val="0"/>
      </rPr>
      <t>九、本年收支结余</t>
    </r>
  </si>
  <si>
    <r>
      <rPr>
        <sz val="11"/>
        <color indexed="8"/>
        <rFont val="宋体"/>
        <family val="0"/>
      </rPr>
      <t>九、上年结余</t>
    </r>
  </si>
  <si>
    <r>
      <rPr>
        <sz val="11"/>
        <color indexed="8"/>
        <rFont val="宋体"/>
        <family val="0"/>
      </rPr>
      <t>十、年末滚存结余</t>
    </r>
  </si>
  <si>
    <r>
      <rPr>
        <b/>
        <sz val="11"/>
        <color indexed="8"/>
        <rFont val="宋体"/>
        <family val="0"/>
      </rPr>
      <t>总</t>
    </r>
    <r>
      <rPr>
        <b/>
        <sz val="11"/>
        <color indexed="8"/>
        <rFont val="Times New Roman"/>
        <family val="1"/>
      </rPr>
      <t xml:space="preserve">        </t>
    </r>
    <r>
      <rPr>
        <b/>
        <sz val="11"/>
        <color indexed="8"/>
        <rFont val="宋体"/>
        <family val="0"/>
      </rPr>
      <t>计</t>
    </r>
  </si>
  <si>
    <t>2016年市本级机关事业单位养老保险基金预算执行表</t>
  </si>
  <si>
    <r>
      <rPr>
        <sz val="11"/>
        <color indexed="8"/>
        <rFont val="宋体"/>
        <family val="0"/>
      </rPr>
      <t>二、转移支出</t>
    </r>
  </si>
  <si>
    <r>
      <rPr>
        <sz val="11"/>
        <color indexed="8"/>
        <rFont val="宋体"/>
        <family val="0"/>
      </rPr>
      <t>三、补助下级支出</t>
    </r>
  </si>
  <si>
    <r>
      <rPr>
        <sz val="11"/>
        <color indexed="8"/>
        <rFont val="宋体"/>
        <family val="0"/>
      </rPr>
      <t>四、上解上级支出</t>
    </r>
  </si>
  <si>
    <r>
      <rPr>
        <sz val="11"/>
        <color indexed="8"/>
        <rFont val="宋体"/>
        <family val="0"/>
      </rPr>
      <t>五、其他支出</t>
    </r>
  </si>
  <si>
    <r>
      <rPr>
        <sz val="11"/>
        <color indexed="8"/>
        <rFont val="宋体"/>
        <family val="0"/>
      </rPr>
      <t>六、本年支出合计</t>
    </r>
  </si>
  <si>
    <r>
      <rPr>
        <sz val="11"/>
        <color indexed="8"/>
        <rFont val="宋体"/>
        <family val="0"/>
      </rPr>
      <t>七、本年收支结余</t>
    </r>
  </si>
  <si>
    <r>
      <rPr>
        <sz val="11"/>
        <color indexed="8"/>
        <rFont val="宋体"/>
        <family val="0"/>
      </rPr>
      <t>八、年末滚存结余</t>
    </r>
  </si>
  <si>
    <t>说明：2016年市本级机关事业单位基本养老金支出完成预算的6.27%，主要是因为机关事业单位养老保险制度尚未正式启动，由财政负担的行政事业单位退休费未列入预算。</t>
  </si>
  <si>
    <t>2016年市本级失业保险基金预算执行表</t>
  </si>
  <si>
    <r>
      <rPr>
        <sz val="11"/>
        <color indexed="8"/>
        <rFont val="宋体"/>
        <family val="0"/>
      </rPr>
      <t>项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宋体"/>
        <family val="0"/>
      </rPr>
      <t>目</t>
    </r>
  </si>
  <si>
    <r>
      <rPr>
        <sz val="11"/>
        <color indexed="8"/>
        <rFont val="宋体"/>
        <family val="0"/>
      </rPr>
      <t>一、失业保险费收入</t>
    </r>
  </si>
  <si>
    <r>
      <rPr>
        <sz val="11"/>
        <color indexed="8"/>
        <rFont val="宋体"/>
        <family val="0"/>
      </rPr>
      <t>一、失业保险金支出</t>
    </r>
  </si>
  <si>
    <r>
      <rPr>
        <sz val="11"/>
        <color indexed="8"/>
        <rFont val="宋体"/>
        <family val="0"/>
      </rPr>
      <t>四、职业培训补贴支出</t>
    </r>
  </si>
  <si>
    <r>
      <rPr>
        <sz val="11"/>
        <color indexed="8"/>
        <rFont val="宋体"/>
        <family val="0"/>
      </rPr>
      <t>五、职业介绍补贴支出</t>
    </r>
  </si>
  <si>
    <r>
      <rPr>
        <sz val="11"/>
        <color indexed="8"/>
        <rFont val="宋体"/>
        <family val="0"/>
      </rPr>
      <t>六、其他费用支出</t>
    </r>
  </si>
  <si>
    <r>
      <rPr>
        <sz val="11"/>
        <color indexed="8"/>
        <rFont val="宋体"/>
        <family val="0"/>
      </rPr>
      <t>七、转移支出</t>
    </r>
  </si>
  <si>
    <r>
      <rPr>
        <sz val="11"/>
        <color indexed="8"/>
        <rFont val="宋体"/>
        <family val="0"/>
      </rPr>
      <t>八、补助下级支出</t>
    </r>
  </si>
  <si>
    <r>
      <rPr>
        <sz val="11"/>
        <color indexed="8"/>
        <rFont val="宋体"/>
        <family val="0"/>
      </rPr>
      <t>九、上解上级支出</t>
    </r>
  </si>
  <si>
    <r>
      <rPr>
        <sz val="11"/>
        <color indexed="8"/>
        <rFont val="宋体"/>
        <family val="0"/>
      </rPr>
      <t>十、其他支出</t>
    </r>
  </si>
  <si>
    <r>
      <rPr>
        <sz val="11"/>
        <color indexed="8"/>
        <rFont val="宋体"/>
        <family val="0"/>
      </rPr>
      <t>十一、本年支出合计</t>
    </r>
  </si>
  <si>
    <r>
      <rPr>
        <sz val="11"/>
        <color indexed="8"/>
        <rFont val="宋体"/>
        <family val="0"/>
      </rPr>
      <t>十二、本年收支结余</t>
    </r>
  </si>
  <si>
    <r>
      <rPr>
        <sz val="11"/>
        <color indexed="8"/>
        <rFont val="宋体"/>
        <family val="0"/>
      </rPr>
      <t>十三、年末滚存结余</t>
    </r>
  </si>
  <si>
    <t>2016年市本级城镇职工基本医疗保险基金预算执行表</t>
  </si>
  <si>
    <r>
      <t>2016</t>
    </r>
    <r>
      <rPr>
        <sz val="11"/>
        <color indexed="8"/>
        <rFont val="宋体"/>
        <family val="0"/>
      </rPr>
      <t>年预算数</t>
    </r>
  </si>
  <si>
    <r>
      <t>2016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0"/>
      </rPr>
      <t>预计</t>
    </r>
    <r>
      <rPr>
        <sz val="11"/>
        <color indexed="8"/>
        <rFont val="宋体"/>
        <family val="0"/>
      </rPr>
      <t>执行数</t>
    </r>
  </si>
  <si>
    <r>
      <t>完成
预算</t>
    </r>
    <r>
      <rPr>
        <sz val="11"/>
        <color indexed="8"/>
        <rFont val="Times New Roman"/>
        <family val="1"/>
      </rPr>
      <t>%</t>
    </r>
  </si>
  <si>
    <r>
      <rPr>
        <sz val="11"/>
        <color indexed="8"/>
        <rFont val="宋体"/>
        <family val="0"/>
      </rPr>
      <t>一、基本医疗保险费收入</t>
    </r>
  </si>
  <si>
    <r>
      <rPr>
        <sz val="11"/>
        <color indexed="8"/>
        <rFont val="宋体"/>
        <family val="0"/>
      </rPr>
      <t>一、基本医疗保险待遇支出</t>
    </r>
  </si>
  <si>
    <r>
      <rPr>
        <sz val="11"/>
        <color indexed="8"/>
        <rFont val="宋体"/>
        <family val="0"/>
      </rPr>
      <t>二、其他支出</t>
    </r>
  </si>
  <si>
    <r>
      <rPr>
        <sz val="11"/>
        <color indexed="8"/>
        <rFont val="宋体"/>
        <family val="0"/>
      </rPr>
      <t>三、转移支出</t>
    </r>
  </si>
  <si>
    <r>
      <rPr>
        <sz val="11"/>
        <color indexed="8"/>
        <rFont val="宋体"/>
        <family val="0"/>
      </rPr>
      <t>四、其他收入</t>
    </r>
  </si>
  <si>
    <r>
      <rPr>
        <sz val="11"/>
        <color indexed="8"/>
        <rFont val="宋体"/>
        <family val="0"/>
      </rPr>
      <t>四、补助下级支出</t>
    </r>
  </si>
  <si>
    <r>
      <rPr>
        <sz val="11"/>
        <color indexed="8"/>
        <rFont val="宋体"/>
        <family val="0"/>
      </rPr>
      <t>五、转移收入</t>
    </r>
  </si>
  <si>
    <r>
      <rPr>
        <sz val="11"/>
        <color indexed="8"/>
        <rFont val="宋体"/>
        <family val="0"/>
      </rPr>
      <t>五、上解上级支出</t>
    </r>
  </si>
  <si>
    <r>
      <rPr>
        <sz val="11"/>
        <color indexed="8"/>
        <rFont val="宋体"/>
        <family val="0"/>
      </rPr>
      <t>六、上级补助收入</t>
    </r>
  </si>
  <si>
    <r>
      <rPr>
        <sz val="11"/>
        <color indexed="8"/>
        <rFont val="宋体"/>
        <family val="0"/>
      </rPr>
      <t>七、下级上解收入</t>
    </r>
  </si>
  <si>
    <r>
      <rPr>
        <b/>
        <sz val="11"/>
        <color indexed="8"/>
        <rFont val="宋体"/>
        <family val="0"/>
      </rPr>
      <t>总</t>
    </r>
    <r>
      <rPr>
        <b/>
        <sz val="11"/>
        <color indexed="8"/>
        <rFont val="Times New Roman"/>
        <family val="1"/>
      </rPr>
      <t xml:space="preserve">       </t>
    </r>
    <r>
      <rPr>
        <b/>
        <sz val="11"/>
        <color indexed="8"/>
        <rFont val="宋体"/>
        <family val="0"/>
      </rPr>
      <t>计</t>
    </r>
  </si>
  <si>
    <r>
      <rPr>
        <b/>
        <sz val="11"/>
        <color indexed="8"/>
        <rFont val="宋体"/>
        <family val="0"/>
      </rPr>
      <t>总</t>
    </r>
    <r>
      <rPr>
        <b/>
        <sz val="11"/>
        <color indexed="8"/>
        <rFont val="Times New Roman"/>
        <family val="1"/>
      </rPr>
      <t xml:space="preserve">      </t>
    </r>
    <r>
      <rPr>
        <b/>
        <sz val="11"/>
        <color indexed="8"/>
        <rFont val="宋体"/>
        <family val="0"/>
      </rPr>
      <t>计</t>
    </r>
  </si>
  <si>
    <t>2016年市本级工伤保险基金预算执行表</t>
  </si>
  <si>
    <r>
      <rPr>
        <sz val="12"/>
        <color indexed="8"/>
        <rFont val="宋体"/>
        <family val="0"/>
      </rPr>
      <t>单位：万元</t>
    </r>
  </si>
  <si>
    <r>
      <rPr>
        <sz val="11"/>
        <color indexed="8"/>
        <rFont val="宋体"/>
        <family val="0"/>
      </rPr>
      <t>一、工伤保险费收入</t>
    </r>
  </si>
  <si>
    <r>
      <rPr>
        <sz val="11"/>
        <color indexed="8"/>
        <rFont val="宋体"/>
        <family val="0"/>
      </rPr>
      <t>一、工伤保险待遇支出</t>
    </r>
  </si>
  <si>
    <r>
      <rPr>
        <sz val="11"/>
        <color indexed="8"/>
        <rFont val="宋体"/>
        <family val="0"/>
      </rPr>
      <t>二、劳动能力鉴定支出</t>
    </r>
  </si>
  <si>
    <r>
      <rPr>
        <sz val="11"/>
        <color indexed="8"/>
        <rFont val="宋体"/>
        <family val="0"/>
      </rPr>
      <t>三、工伤预防费用支出</t>
    </r>
  </si>
  <si>
    <r>
      <rPr>
        <sz val="11"/>
        <color indexed="8"/>
        <rFont val="宋体"/>
        <family val="0"/>
      </rPr>
      <t>五、其他收入</t>
    </r>
  </si>
  <si>
    <r>
      <rPr>
        <sz val="11"/>
        <color indexed="8"/>
        <rFont val="宋体"/>
        <family val="0"/>
      </rPr>
      <t>六、补助下级支出</t>
    </r>
  </si>
  <si>
    <r>
      <rPr>
        <sz val="11"/>
        <color indexed="8"/>
        <rFont val="宋体"/>
        <family val="0"/>
      </rPr>
      <t>七、上解上级支出</t>
    </r>
  </si>
  <si>
    <t>2016年市本级生育保险基金预算执行表</t>
  </si>
  <si>
    <r>
      <rPr>
        <sz val="11"/>
        <color indexed="8"/>
        <rFont val="宋体"/>
        <family val="0"/>
      </rPr>
      <t>一、生育保险费收入</t>
    </r>
  </si>
  <si>
    <r>
      <rPr>
        <sz val="11"/>
        <color indexed="8"/>
        <rFont val="宋体"/>
        <family val="0"/>
      </rPr>
      <t>一、医疗费用支出</t>
    </r>
  </si>
  <si>
    <r>
      <rPr>
        <sz val="11"/>
        <color indexed="8"/>
        <rFont val="宋体"/>
        <family val="0"/>
      </rPr>
      <t>二、生育津贴支出</t>
    </r>
  </si>
  <si>
    <r>
      <rPr>
        <sz val="11"/>
        <color indexed="8"/>
        <rFont val="宋体"/>
        <family val="0"/>
      </rPr>
      <t>四、其他支出</t>
    </r>
  </si>
  <si>
    <r>
      <rPr>
        <sz val="11"/>
        <color indexed="8"/>
        <rFont val="宋体"/>
        <family val="0"/>
      </rPr>
      <t>七、本年支出合计</t>
    </r>
  </si>
  <si>
    <r>
      <rPr>
        <sz val="11"/>
        <color indexed="8"/>
        <rFont val="宋体"/>
        <family val="0"/>
      </rPr>
      <t>八、本年收支结余</t>
    </r>
  </si>
  <si>
    <r>
      <rPr>
        <sz val="11"/>
        <color indexed="8"/>
        <rFont val="宋体"/>
        <family val="0"/>
      </rPr>
      <t>九、年末滚存结余</t>
    </r>
  </si>
  <si>
    <t>2017年益阳市(汇总)一般公共预算收入预算表</t>
  </si>
  <si>
    <r>
      <rPr>
        <sz val="12"/>
        <rFont val="宋体"/>
        <family val="0"/>
      </rPr>
      <t>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项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目</t>
    </r>
  </si>
  <si>
    <r>
      <t>2017</t>
    </r>
    <r>
      <rPr>
        <sz val="12"/>
        <rFont val="宋体"/>
        <family val="0"/>
      </rPr>
      <t>年预算数</t>
    </r>
  </si>
  <si>
    <r>
      <rPr>
        <sz val="12"/>
        <rFont val="宋体"/>
        <family val="0"/>
      </rPr>
      <t>增长</t>
    </r>
    <r>
      <rPr>
        <sz val="12"/>
        <rFont val="Times New Roman"/>
        <family val="1"/>
      </rPr>
      <t>%</t>
    </r>
  </si>
  <si>
    <r>
      <rPr>
        <sz val="11"/>
        <rFont val="宋体"/>
        <family val="0"/>
      </rPr>
      <t>说明：根据《关于全面推开营业税改征增值税试点有关预算管理问题的通知》（湘财预</t>
    </r>
    <r>
      <rPr>
        <sz val="11"/>
        <rFont val="Times New Roman"/>
        <family val="1"/>
      </rPr>
      <t>[2016]48</t>
    </r>
    <r>
      <rPr>
        <sz val="11"/>
        <rFont val="宋体"/>
        <family val="0"/>
      </rPr>
      <t>号），自</t>
    </r>
    <r>
      <rPr>
        <sz val="11"/>
        <rFont val="Times New Roman"/>
        <family val="1"/>
      </rPr>
      <t>2016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日起，全面推开营改增试点，同时调整中央与地方增值税收入划分办法，中央、省、市县增值税按</t>
    </r>
    <r>
      <rPr>
        <sz val="11"/>
        <rFont val="Times New Roman"/>
        <family val="1"/>
      </rPr>
      <t>50%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12.5%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37.5%</t>
    </r>
    <r>
      <rPr>
        <sz val="11"/>
        <rFont val="宋体"/>
        <family val="0"/>
      </rPr>
      <t>比例分享。如考虑营改增因素，则增值税（地方部分）比上年同口径下降</t>
    </r>
    <r>
      <rPr>
        <sz val="11"/>
        <rFont val="Times New Roman"/>
        <family val="1"/>
      </rPr>
      <t>1.64%</t>
    </r>
    <r>
      <rPr>
        <sz val="11"/>
        <rFont val="宋体"/>
        <family val="0"/>
      </rPr>
      <t>。</t>
    </r>
  </si>
  <si>
    <t>2017年益阳市(汇总)一般公共预算支出预算表</t>
  </si>
  <si>
    <r>
      <rPr>
        <sz val="11"/>
        <rFont val="宋体"/>
        <family val="0"/>
      </rPr>
      <t>支出功能科目</t>
    </r>
  </si>
  <si>
    <r>
      <t>2016</t>
    </r>
    <r>
      <rPr>
        <sz val="11"/>
        <rFont val="宋体"/>
        <family val="0"/>
      </rPr>
      <t>年预计财
力完成数</t>
    </r>
  </si>
  <si>
    <r>
      <t>2017</t>
    </r>
    <r>
      <rPr>
        <sz val="11"/>
        <rFont val="宋体"/>
        <family val="0"/>
      </rPr>
      <t>年财力
安排数</t>
    </r>
  </si>
  <si>
    <r>
      <rPr>
        <sz val="11"/>
        <rFont val="宋体"/>
        <family val="0"/>
      </rPr>
      <t>增长</t>
    </r>
    <r>
      <rPr>
        <sz val="11"/>
        <rFont val="Times New Roman"/>
        <family val="1"/>
      </rPr>
      <t>%</t>
    </r>
  </si>
  <si>
    <r>
      <t>2015</t>
    </r>
    <r>
      <rPr>
        <sz val="12"/>
        <rFont val="宋体"/>
        <family val="0"/>
      </rPr>
      <t>年完成</t>
    </r>
  </si>
  <si>
    <r>
      <rPr>
        <sz val="12"/>
        <rFont val="宋体"/>
        <family val="0"/>
      </rPr>
      <t>调整预算</t>
    </r>
  </si>
  <si>
    <r>
      <rPr>
        <sz val="12"/>
        <rFont val="宋体"/>
        <family val="0"/>
      </rPr>
      <t>测算</t>
    </r>
  </si>
  <si>
    <r>
      <rPr>
        <sz val="11"/>
        <rFont val="宋体"/>
        <family val="0"/>
      </rPr>
      <t>预备费</t>
    </r>
  </si>
  <si>
    <r>
      <rPr>
        <b/>
        <sz val="11"/>
        <rFont val="宋体"/>
        <family val="0"/>
      </rPr>
      <t>合</t>
    </r>
    <r>
      <rPr>
        <b/>
        <sz val="11"/>
        <rFont val="Times New Roman"/>
        <family val="1"/>
      </rPr>
      <t xml:space="preserve">              </t>
    </r>
    <r>
      <rPr>
        <b/>
        <sz val="11"/>
        <rFont val="宋体"/>
        <family val="0"/>
      </rPr>
      <t>计</t>
    </r>
  </si>
  <si>
    <r>
      <rPr>
        <sz val="12"/>
        <rFont val="宋体"/>
        <family val="0"/>
      </rPr>
      <t>债</t>
    </r>
    <r>
      <rPr>
        <sz val="12"/>
        <rFont val="Times New Roman"/>
        <family val="1"/>
      </rPr>
      <t>42300</t>
    </r>
  </si>
  <si>
    <r>
      <rPr>
        <sz val="12"/>
        <rFont val="宋体"/>
        <family val="0"/>
      </rPr>
      <t>地方</t>
    </r>
    <r>
      <rPr>
        <sz val="12"/>
        <rFont val="Times New Roman"/>
        <family val="1"/>
      </rPr>
      <t>66490</t>
    </r>
  </si>
  <si>
    <r>
      <rPr>
        <sz val="12"/>
        <rFont val="宋体"/>
        <family val="0"/>
      </rPr>
      <t>转移调资</t>
    </r>
    <r>
      <rPr>
        <sz val="12"/>
        <rFont val="Times New Roman"/>
        <family val="1"/>
      </rPr>
      <t>85732</t>
    </r>
  </si>
  <si>
    <t>2017年益阳市（汇总）一般公共预算收支平衡表</t>
  </si>
  <si>
    <r>
      <rPr>
        <sz val="11"/>
        <rFont val="宋体"/>
        <family val="0"/>
      </rPr>
      <t>收</t>
    </r>
    <r>
      <rPr>
        <sz val="11"/>
        <rFont val="Times New Roman"/>
        <family val="1"/>
      </rPr>
      <t xml:space="preserve">              </t>
    </r>
    <r>
      <rPr>
        <sz val="11"/>
        <rFont val="宋体"/>
        <family val="0"/>
      </rPr>
      <t>入</t>
    </r>
  </si>
  <si>
    <r>
      <rPr>
        <sz val="11"/>
        <rFont val="宋体"/>
        <family val="0"/>
      </rPr>
      <t>支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出</t>
    </r>
  </si>
  <si>
    <r>
      <rPr>
        <b/>
        <sz val="11"/>
        <rFont val="宋体"/>
        <family val="0"/>
      </rPr>
      <t>项</t>
    </r>
    <r>
      <rPr>
        <b/>
        <sz val="11"/>
        <rFont val="Times New Roman"/>
        <family val="1"/>
      </rPr>
      <t xml:space="preserve">               </t>
    </r>
    <r>
      <rPr>
        <b/>
        <sz val="11"/>
        <rFont val="宋体"/>
        <family val="0"/>
      </rPr>
      <t>目</t>
    </r>
  </si>
  <si>
    <r>
      <t>2017</t>
    </r>
    <r>
      <rPr>
        <b/>
        <sz val="11"/>
        <rFont val="宋体"/>
        <family val="0"/>
      </rPr>
      <t>年
预算数</t>
    </r>
  </si>
  <si>
    <r>
      <rPr>
        <sz val="11"/>
        <rFont val="宋体"/>
        <family val="0"/>
      </rPr>
      <t>一、地方收入</t>
    </r>
  </si>
  <si>
    <r>
      <rPr>
        <sz val="11"/>
        <rFont val="宋体"/>
        <family val="0"/>
      </rPr>
      <t>一、全市支出</t>
    </r>
  </si>
  <si>
    <r>
      <rPr>
        <sz val="11"/>
        <rFont val="宋体"/>
        <family val="0"/>
      </rPr>
      <t>二、上级补助收入</t>
    </r>
  </si>
  <si>
    <r>
      <rPr>
        <sz val="11"/>
        <rFont val="宋体"/>
        <family val="0"/>
      </rPr>
      <t>一般公共预算财力安排</t>
    </r>
  </si>
  <si>
    <r>
      <t>1</t>
    </r>
    <r>
      <rPr>
        <sz val="11"/>
        <rFont val="宋体"/>
        <family val="0"/>
      </rPr>
      <t>、返还性收入</t>
    </r>
  </si>
  <si>
    <r>
      <rPr>
        <sz val="11"/>
        <rFont val="宋体"/>
        <family val="0"/>
      </rPr>
      <t>上级提前下达专项转移支付安排</t>
    </r>
  </si>
  <si>
    <r>
      <t xml:space="preserve">  </t>
    </r>
    <r>
      <rPr>
        <sz val="11"/>
        <rFont val="宋体"/>
        <family val="0"/>
      </rPr>
      <t>消费税和增值税税收返还</t>
    </r>
  </si>
  <si>
    <r>
      <rPr>
        <sz val="11"/>
        <rFont val="宋体"/>
        <family val="0"/>
      </rPr>
      <t>二、上解支出</t>
    </r>
  </si>
  <si>
    <r>
      <t xml:space="preserve">  </t>
    </r>
    <r>
      <rPr>
        <sz val="11"/>
        <rFont val="宋体"/>
        <family val="0"/>
      </rPr>
      <t>所得税基数返还</t>
    </r>
  </si>
  <si>
    <r>
      <t xml:space="preserve">       </t>
    </r>
    <r>
      <rPr>
        <sz val="11"/>
        <rFont val="宋体"/>
        <family val="0"/>
      </rPr>
      <t>体制上解</t>
    </r>
  </si>
  <si>
    <r>
      <t xml:space="preserve">  </t>
    </r>
    <r>
      <rPr>
        <sz val="11"/>
        <rFont val="宋体"/>
        <family val="0"/>
      </rPr>
      <t>成品油税费与价格改革返还</t>
    </r>
  </si>
  <si>
    <r>
      <t xml:space="preserve">       </t>
    </r>
    <r>
      <rPr>
        <sz val="11"/>
        <rFont val="宋体"/>
        <family val="0"/>
      </rPr>
      <t>专项上解</t>
    </r>
  </si>
  <si>
    <r>
      <t xml:space="preserve">  </t>
    </r>
    <r>
      <rPr>
        <sz val="11"/>
        <rFont val="宋体"/>
        <family val="0"/>
      </rPr>
      <t>其他税收返还</t>
    </r>
  </si>
  <si>
    <r>
      <t xml:space="preserve">       </t>
    </r>
    <r>
      <rPr>
        <sz val="11"/>
        <rFont val="宋体"/>
        <family val="0"/>
      </rPr>
      <t>出口退税上解</t>
    </r>
  </si>
  <si>
    <r>
      <t>2</t>
    </r>
    <r>
      <rPr>
        <sz val="11"/>
        <rFont val="宋体"/>
        <family val="0"/>
      </rPr>
      <t>、一般性转移支付收入</t>
    </r>
  </si>
  <si>
    <r>
      <t xml:space="preserve">    </t>
    </r>
    <r>
      <rPr>
        <sz val="11"/>
        <rFont val="宋体"/>
        <family val="0"/>
      </rPr>
      <t>体制补助收入</t>
    </r>
  </si>
  <si>
    <r>
      <rPr>
        <sz val="11"/>
        <rFont val="宋体"/>
        <family val="0"/>
      </rPr>
      <t>三、补助区县支出</t>
    </r>
  </si>
  <si>
    <r>
      <t xml:space="preserve">    </t>
    </r>
    <r>
      <rPr>
        <sz val="11"/>
        <rFont val="宋体"/>
        <family val="0"/>
      </rPr>
      <t>均衡性转移支付补助</t>
    </r>
  </si>
  <si>
    <r>
      <rPr>
        <sz val="11"/>
        <rFont val="宋体"/>
        <family val="0"/>
      </rPr>
      <t>四、安排预算稳定调节基金</t>
    </r>
  </si>
  <si>
    <r>
      <t xml:space="preserve">    </t>
    </r>
    <r>
      <rPr>
        <sz val="11"/>
        <rFont val="宋体"/>
        <family val="0"/>
      </rPr>
      <t>调整工资转移支付补助收入</t>
    </r>
  </si>
  <si>
    <r>
      <rPr>
        <sz val="11"/>
        <rFont val="宋体"/>
        <family val="0"/>
      </rPr>
      <t>五、援助其他地区支出</t>
    </r>
  </si>
  <si>
    <r>
      <t xml:space="preserve">    </t>
    </r>
    <r>
      <rPr>
        <sz val="11"/>
        <rFont val="宋体"/>
        <family val="0"/>
      </rPr>
      <t>农村税费改革补助收入</t>
    </r>
  </si>
  <si>
    <t>六、调出资金</t>
  </si>
  <si>
    <r>
      <t xml:space="preserve">  </t>
    </r>
    <r>
      <rPr>
        <sz val="11"/>
        <rFont val="宋体"/>
        <family val="0"/>
      </rPr>
      <t>县级基本财力保障机制奖补资金</t>
    </r>
  </si>
  <si>
    <r>
      <t xml:space="preserve">    </t>
    </r>
    <r>
      <rPr>
        <sz val="11"/>
        <rFont val="宋体"/>
        <family val="0"/>
      </rPr>
      <t>结算补助收入</t>
    </r>
  </si>
  <si>
    <r>
      <t xml:space="preserve">    </t>
    </r>
    <r>
      <rPr>
        <sz val="11"/>
        <rFont val="宋体"/>
        <family val="0"/>
      </rPr>
      <t>其他一般性转移支付收入</t>
    </r>
  </si>
  <si>
    <r>
      <t>3</t>
    </r>
    <r>
      <rPr>
        <sz val="11"/>
        <rFont val="宋体"/>
        <family val="0"/>
      </rPr>
      <t>、专项转移支付收入</t>
    </r>
  </si>
  <si>
    <r>
      <rPr>
        <sz val="11"/>
        <rFont val="宋体"/>
        <family val="0"/>
      </rPr>
      <t>三、区上解收入</t>
    </r>
  </si>
  <si>
    <r>
      <rPr>
        <sz val="11"/>
        <rFont val="宋体"/>
        <family val="0"/>
      </rPr>
      <t>四、调入预算稳定调节基金</t>
    </r>
  </si>
  <si>
    <t>五、调入资金</t>
  </si>
  <si>
    <r>
      <rPr>
        <b/>
        <sz val="11"/>
        <rFont val="宋体"/>
        <family val="0"/>
      </rPr>
      <t>收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入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合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计</t>
    </r>
  </si>
  <si>
    <r>
      <rPr>
        <b/>
        <sz val="11"/>
        <rFont val="宋体"/>
        <family val="0"/>
      </rPr>
      <t>支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出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合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计</t>
    </r>
  </si>
  <si>
    <t>2017年市本级一般公共预算收入预算表</t>
  </si>
  <si>
    <r>
      <t xml:space="preserve"> </t>
    </r>
    <r>
      <rPr>
        <sz val="12"/>
        <rFont val="宋体"/>
        <family val="0"/>
      </rPr>
      <t>单位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万元</t>
    </r>
  </si>
  <si>
    <r>
      <rPr>
        <sz val="11"/>
        <color indexed="8"/>
        <rFont val="宋体"/>
        <family val="0"/>
      </rPr>
      <t>收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目</t>
    </r>
  </si>
  <si>
    <r>
      <t>201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年预计完成数</t>
    </r>
  </si>
  <si>
    <r>
      <t>201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年预算数</t>
    </r>
  </si>
  <si>
    <r>
      <rPr>
        <sz val="11"/>
        <color indexed="8"/>
        <rFont val="宋体"/>
        <family val="0"/>
      </rPr>
      <t>增长</t>
    </r>
    <r>
      <rPr>
        <sz val="11"/>
        <color indexed="8"/>
        <rFont val="Times New Roman"/>
        <family val="1"/>
      </rPr>
      <t>%</t>
    </r>
  </si>
  <si>
    <r>
      <rPr>
        <sz val="11"/>
        <rFont val="宋体"/>
        <family val="0"/>
      </rPr>
      <t>说明：根据《关于全面推开营业税改征增值税试点有关预算管理问题的通知》（湘财预</t>
    </r>
    <r>
      <rPr>
        <sz val="11"/>
        <rFont val="Times New Roman"/>
        <family val="1"/>
      </rPr>
      <t>[2016]48</t>
    </r>
    <r>
      <rPr>
        <sz val="11"/>
        <rFont val="宋体"/>
        <family val="0"/>
      </rPr>
      <t>号），自</t>
    </r>
    <r>
      <rPr>
        <sz val="11"/>
        <rFont val="Times New Roman"/>
        <family val="1"/>
      </rPr>
      <t>2016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日起，全面推开营改增试点，同时调整中央与地方增值税收入划分办法，中央、省、市县增值税按</t>
    </r>
    <r>
      <rPr>
        <sz val="11"/>
        <rFont val="Times New Roman"/>
        <family val="1"/>
      </rPr>
      <t>50%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12.5%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37.5%</t>
    </r>
    <r>
      <rPr>
        <sz val="11"/>
        <rFont val="宋体"/>
        <family val="0"/>
      </rPr>
      <t>比例分享。如考虑营改增因素，则增值税（地方部分）比上年同口径增长</t>
    </r>
    <r>
      <rPr>
        <sz val="11"/>
        <rFont val="Times New Roman"/>
        <family val="1"/>
      </rPr>
      <t>10.7%</t>
    </r>
    <r>
      <rPr>
        <sz val="11"/>
        <rFont val="宋体"/>
        <family val="0"/>
      </rPr>
      <t>。</t>
    </r>
  </si>
  <si>
    <t>2017年市本级一般公共预算支出预算表</t>
  </si>
  <si>
    <r>
      <t xml:space="preserve"> </t>
    </r>
    <r>
      <rPr>
        <sz val="11"/>
        <rFont val="宋体"/>
        <family val="0"/>
      </rPr>
      <t>单位：万元</t>
    </r>
  </si>
  <si>
    <r>
      <t>2016</t>
    </r>
    <r>
      <rPr>
        <sz val="11"/>
        <rFont val="宋体"/>
        <family val="0"/>
      </rPr>
      <t>年预计财力
完成数</t>
    </r>
  </si>
  <si>
    <r>
      <t>2017</t>
    </r>
    <r>
      <rPr>
        <sz val="11"/>
        <rFont val="宋体"/>
        <family val="0"/>
      </rPr>
      <t>年
财力安排数</t>
    </r>
  </si>
  <si>
    <r>
      <rPr>
        <b/>
        <sz val="11"/>
        <rFont val="宋体"/>
        <family val="0"/>
      </rPr>
      <t>市本级支出小计</t>
    </r>
  </si>
  <si>
    <r>
      <rPr>
        <sz val="11"/>
        <rFont val="宋体"/>
        <family val="0"/>
      </rPr>
      <t>转移性支出</t>
    </r>
  </si>
  <si>
    <t>2017年市本级一般公共预算支出明细表</t>
  </si>
  <si>
    <t>支出功能分类科目</t>
  </si>
  <si>
    <t>2017年预算数</t>
  </si>
  <si>
    <t>合计</t>
  </si>
  <si>
    <t>其中：</t>
  </si>
  <si>
    <t>本级财力安排支出数</t>
  </si>
  <si>
    <t>省提前下达转移支付安排支出数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</si>
  <si>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</si>
  <si>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</si>
  <si>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</si>
  <si>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</si>
  <si>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</si>
  <si>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</si>
  <si>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</si>
  <si>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</si>
  <si>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</si>
  <si>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</si>
  <si>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</si>
  <si>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</si>
  <si>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</si>
  <si>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</si>
  <si>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</si>
  <si>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</si>
  <si>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</si>
  <si>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</si>
  <si>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</si>
  <si>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</si>
  <si>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</si>
  <si>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</si>
  <si>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</si>
  <si>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</si>
  <si>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</si>
  <si>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</si>
  <si>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</si>
  <si>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</si>
  <si>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</si>
  <si>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</si>
  <si>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</si>
  <si>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</si>
  <si>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</si>
  <si>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</si>
  <si>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</si>
  <si>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</si>
  <si>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</si>
  <si>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</si>
  <si>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</si>
  <si>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</si>
  <si>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</si>
  <si>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</si>
  <si>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</si>
  <si>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</si>
  <si>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</si>
  <si>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</si>
  <si>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</si>
  <si>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</si>
  <si>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</si>
  <si>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</si>
  <si>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</si>
  <si>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</si>
  <si>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</si>
  <si>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</si>
  <si>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</si>
  <si>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</si>
  <si>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</si>
  <si>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</si>
  <si>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</si>
  <si>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</si>
  <si>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</si>
  <si>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</si>
  <si>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</si>
  <si>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</si>
  <si>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</si>
  <si>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</si>
  <si>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</si>
  <si>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</si>
  <si>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</si>
  <si>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</si>
  <si>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</si>
  <si>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</si>
  <si>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</si>
  <si>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</si>
  <si>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</si>
  <si>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</si>
  <si>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</si>
  <si>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</si>
  <si>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</si>
  <si>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</si>
  <si>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</si>
  <si>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</si>
  <si>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</si>
  <si>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</si>
  <si>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</si>
  <si>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</si>
  <si>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</si>
  <si>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</si>
  <si>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</si>
  <si>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</si>
  <si>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</si>
  <si>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</si>
  <si>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</si>
  <si>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</si>
  <si>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</si>
  <si>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</si>
  <si>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</si>
  <si>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</si>
  <si>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</si>
  <si>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</si>
  <si>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</si>
  <si>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</si>
  <si>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</si>
  <si>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</si>
  <si>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</si>
  <si>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</si>
  <si>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</si>
  <si>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</si>
  <si>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</si>
  <si>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</si>
  <si>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</si>
  <si>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</si>
  <si>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</si>
  <si>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</si>
  <si>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</si>
  <si>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</si>
  <si>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</si>
  <si>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</si>
  <si>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</si>
  <si>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</si>
  <si>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</si>
  <si>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</si>
  <si>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</si>
  <si>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</si>
  <si>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</si>
  <si>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</si>
  <si>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</si>
  <si>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</si>
  <si>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</si>
  <si>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</si>
  <si>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</si>
  <si>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</si>
  <si>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</si>
  <si>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</si>
  <si>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</si>
  <si>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</si>
  <si>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</si>
  <si>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</si>
  <si>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</si>
  <si>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</si>
  <si>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</si>
  <si>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</si>
  <si>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</si>
  <si>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</si>
  <si>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</si>
  <si>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</si>
  <si>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</si>
  <si>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</si>
  <si>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</si>
  <si>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</si>
  <si>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</si>
  <si>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</si>
  <si>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</si>
  <si>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</si>
  <si>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</si>
  <si>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</si>
  <si>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</si>
  <si>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</si>
  <si>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</si>
  <si>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</si>
  <si>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</si>
  <si>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</si>
  <si>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</si>
  <si>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</si>
  <si>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</si>
  <si>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</si>
  <si>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</si>
  <si>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</si>
  <si>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</si>
  <si>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</si>
  <si>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</si>
  <si>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</si>
  <si>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</si>
  <si>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</si>
  <si>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</si>
  <si>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</si>
  <si>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</si>
  <si>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</si>
  <si>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</si>
  <si>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</si>
  <si>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</si>
  <si>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</si>
  <si>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</si>
  <si>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</si>
  <si>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</si>
  <si>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</si>
  <si>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</si>
  <si>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</si>
  <si>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</si>
  <si>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</si>
  <si>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</si>
  <si>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</si>
  <si>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</si>
  <si>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</si>
  <si>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</si>
  <si>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</si>
  <si>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</si>
  <si>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</si>
  <si>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</si>
  <si>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</si>
  <si>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</si>
  <si>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</si>
  <si>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</si>
  <si>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</si>
  <si>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</si>
  <si>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</si>
  <si>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</si>
  <si>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</si>
  <si>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</si>
  <si>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</si>
  <si>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</si>
  <si>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</si>
  <si>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</si>
  <si>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</si>
  <si>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</si>
  <si>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</si>
  <si>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</si>
  <si>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</si>
  <si>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</si>
  <si>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</si>
  <si>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</si>
  <si>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</si>
  <si>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</si>
  <si>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</si>
  <si>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</si>
  <si>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</si>
  <si>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</si>
  <si>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</si>
  <si>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</si>
  <si>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</si>
  <si>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</si>
  <si>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</si>
  <si>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</si>
  <si>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</si>
  <si>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</si>
  <si>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</si>
  <si>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</si>
  <si>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</si>
  <si>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</si>
  <si>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</si>
  <si>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</si>
  <si>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</si>
  <si>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</si>
  <si>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</si>
  <si>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</si>
  <si>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</si>
  <si>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</si>
  <si>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</si>
  <si>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</si>
  <si>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</si>
  <si>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</si>
  <si>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</si>
  <si>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</si>
  <si>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</si>
  <si>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</si>
  <si>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</si>
  <si>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</si>
  <si>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</si>
  <si>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</si>
  <si>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</si>
  <si>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</si>
  <si>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</si>
  <si>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</si>
  <si>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</si>
  <si>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</si>
  <si>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</si>
  <si>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</si>
  <si>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</si>
  <si>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</si>
  <si>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</si>
  <si>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</si>
  <si>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</si>
  <si>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</si>
  <si>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</si>
  <si>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</si>
  <si>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</si>
  <si>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</si>
  <si>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</si>
  <si>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</si>
  <si>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</si>
  <si>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</si>
  <si>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</si>
  <si>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</si>
  <si>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</si>
  <si>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</si>
  <si>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</si>
  <si>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</si>
  <si>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</si>
  <si>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</si>
  <si>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</si>
  <si>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</si>
  <si>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</si>
  <si>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</si>
  <si>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</si>
  <si>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</si>
  <si>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</si>
  <si>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</si>
  <si>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</si>
  <si>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</si>
  <si>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</si>
  <si>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</si>
  <si>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</si>
  <si>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</si>
  <si>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</si>
  <si>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</si>
  <si>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</si>
  <si>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</si>
  <si>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</si>
  <si>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</si>
  <si>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</si>
  <si>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</si>
  <si>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</si>
  <si>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</si>
  <si>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</si>
  <si>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</si>
  <si>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</si>
  <si>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</si>
  <si>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</si>
  <si>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</si>
  <si>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</si>
  <si>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</si>
  <si>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</si>
  <si>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</si>
  <si>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</si>
  <si>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</si>
  <si>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</si>
  <si>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</si>
  <si>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</si>
  <si>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</si>
  <si>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</si>
  <si>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</si>
  <si>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</si>
  <si>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</si>
  <si>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</si>
  <si>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</si>
  <si>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</si>
  <si>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</si>
  <si>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</si>
  <si>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</si>
  <si>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</si>
  <si>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</si>
  <si>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</si>
  <si>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</si>
  <si>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</si>
  <si>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</si>
  <si>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</si>
  <si>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</si>
  <si>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</si>
  <si>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</si>
  <si>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</si>
  <si>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</si>
  <si>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</si>
  <si>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</si>
  <si>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</si>
  <si>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</si>
  <si>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</si>
  <si>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</si>
  <si>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</si>
  <si>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</si>
  <si>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</si>
  <si>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</si>
  <si>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</si>
  <si>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</si>
  <si>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</si>
  <si>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</si>
  <si>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</si>
  <si>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</si>
  <si>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</si>
  <si>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</si>
  <si>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</si>
  <si>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</si>
  <si>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</si>
  <si>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</si>
  <si>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</si>
  <si>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</si>
  <si>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</si>
  <si>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</si>
  <si>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</si>
  <si>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</si>
  <si>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</si>
  <si>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</si>
  <si>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</si>
  <si>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</si>
  <si>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</si>
  <si>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</si>
  <si>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</si>
  <si>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</si>
  <si>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</si>
  <si>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</si>
  <si>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</si>
  <si>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</si>
  <si>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</si>
  <si>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</si>
  <si>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</si>
  <si>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</si>
  <si>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</si>
  <si>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</si>
  <si>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</si>
  <si>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</si>
  <si>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</si>
  <si>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</si>
  <si>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</si>
  <si>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财政对城乡居民基本养老保险基金的补助</t>
  </si>
  <si>
    <t xml:space="preserve">      财政对其他社会保险基金的补助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</si>
  <si>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</si>
  <si>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</si>
  <si>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</si>
  <si>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</si>
  <si>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</si>
  <si>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</si>
  <si>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</si>
  <si>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</si>
  <si>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</si>
  <si>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</si>
  <si>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</si>
  <si>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</si>
  <si>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</si>
  <si>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</si>
  <si>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</si>
  <si>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</si>
  <si>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</si>
  <si>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</si>
  <si>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</si>
  <si>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</si>
  <si>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</si>
  <si>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</si>
  <si>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</si>
  <si>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</si>
  <si>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</si>
  <si>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</si>
  <si>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</si>
  <si>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</si>
  <si>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</si>
  <si>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</si>
  <si>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</si>
  <si>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</si>
  <si>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</si>
  <si>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</si>
  <si>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</si>
  <si>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</si>
  <si>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</si>
  <si>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</si>
  <si>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</si>
  <si>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</si>
  <si>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</si>
  <si>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</si>
  <si>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</si>
  <si>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</si>
  <si>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</si>
  <si>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</si>
  <si>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</si>
  <si>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</si>
  <si>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</si>
  <si>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</si>
  <si>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</si>
  <si>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</si>
  <si>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</si>
  <si>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</si>
  <si>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</si>
  <si>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</si>
  <si>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</si>
  <si>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</si>
  <si>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</si>
  <si>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</si>
  <si>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</si>
  <si>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</si>
  <si>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</si>
  <si>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</si>
  <si>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</si>
  <si>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</si>
  <si>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</si>
  <si>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</si>
  <si>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</si>
  <si>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</si>
  <si>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</si>
  <si>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</si>
  <si>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</si>
  <si>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</si>
  <si>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</si>
  <si>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</si>
  <si>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</si>
  <si>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</si>
  <si>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</si>
  <si>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</si>
  <si>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</si>
  <si>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</si>
  <si>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</si>
  <si>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</si>
  <si>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</si>
  <si>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</si>
  <si>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</si>
  <si>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</si>
  <si>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</si>
  <si>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</si>
  <si>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</si>
  <si>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</si>
  <si>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</si>
  <si>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</si>
  <si>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</si>
  <si>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</si>
  <si>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</si>
  <si>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</si>
  <si>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</si>
  <si>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</si>
  <si>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</si>
  <si>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</si>
  <si>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</si>
  <si>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</si>
  <si>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</si>
  <si>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</si>
  <si>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</si>
  <si>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</si>
  <si>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</si>
  <si>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</si>
  <si>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t xml:space="preserve">      城乡医疗救助</t>
  </si>
  <si>
    <t xml:space="preserve">      疾病应急救助</t>
  </si>
  <si>
    <t xml:space="preserve">      其他医疗保障支出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</si>
  <si>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</si>
  <si>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</si>
  <si>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</si>
  <si>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</si>
  <si>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</si>
  <si>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</si>
  <si>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</si>
  <si>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</si>
  <si>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</si>
  <si>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</si>
  <si>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</si>
  <si>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</si>
  <si>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</si>
  <si>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</si>
  <si>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</si>
  <si>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</si>
  <si>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</si>
  <si>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</si>
  <si>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</si>
  <si>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</si>
  <si>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</si>
  <si>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</si>
  <si>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</si>
  <si>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</si>
  <si>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</si>
  <si>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</si>
  <si>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</si>
  <si>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</si>
  <si>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</si>
  <si>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</si>
  <si>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</si>
  <si>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</si>
  <si>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</si>
  <si>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</si>
  <si>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</si>
  <si>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</si>
  <si>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</si>
  <si>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</si>
  <si>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</si>
  <si>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</si>
  <si>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</si>
  <si>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</si>
  <si>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</si>
  <si>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</si>
  <si>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</si>
  <si>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</si>
  <si>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</si>
  <si>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</si>
  <si>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</si>
  <si>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</si>
  <si>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</si>
  <si>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</si>
  <si>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</si>
  <si>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</si>
  <si>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</si>
  <si>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</si>
  <si>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</si>
  <si>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</si>
  <si>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</si>
  <si>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</si>
  <si>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</si>
  <si>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</si>
  <si>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</si>
  <si>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</si>
  <si>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</si>
  <si>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</si>
  <si>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</si>
  <si>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</si>
  <si>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</si>
  <si>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</si>
  <si>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</si>
  <si>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</si>
  <si>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</si>
  <si>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</si>
  <si>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</si>
  <si>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</si>
  <si>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</si>
  <si>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</si>
  <si>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</si>
  <si>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</si>
  <si>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</si>
  <si>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</si>
  <si>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</si>
  <si>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</si>
  <si>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</si>
  <si>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</si>
  <si>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</si>
  <si>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</si>
  <si>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</si>
  <si>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</si>
  <si>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</si>
  <si>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</si>
  <si>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</si>
  <si>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</si>
  <si>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</si>
  <si>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</si>
  <si>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</si>
  <si>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</si>
  <si>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</si>
  <si>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</si>
  <si>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</si>
  <si>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</si>
  <si>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</si>
  <si>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</si>
  <si>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</si>
  <si>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</si>
  <si>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</si>
  <si>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</si>
  <si>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</si>
  <si>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</si>
  <si>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</si>
  <si>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</si>
  <si>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</si>
  <si>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</si>
  <si>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</si>
  <si>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</si>
  <si>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</si>
  <si>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</si>
  <si>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</si>
  <si>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</si>
  <si>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</si>
  <si>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</si>
  <si>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</si>
  <si>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</si>
  <si>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</si>
  <si>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</si>
  <si>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</si>
  <si>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</si>
  <si>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</si>
  <si>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</si>
  <si>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</si>
  <si>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</si>
  <si>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</si>
  <si>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</si>
  <si>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</si>
  <si>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</si>
  <si>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</si>
  <si>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</si>
  <si>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</si>
  <si>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</si>
  <si>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</si>
  <si>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</si>
  <si>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</si>
  <si>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</si>
  <si>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</si>
  <si>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</si>
  <si>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</si>
  <si>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</si>
  <si>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</si>
  <si>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</si>
  <si>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</si>
  <si>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</si>
  <si>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</si>
  <si>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</si>
  <si>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</si>
  <si>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</si>
  <si>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</si>
  <si>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</si>
  <si>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</si>
  <si>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</si>
  <si>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</si>
  <si>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</si>
  <si>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</si>
  <si>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</si>
  <si>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</si>
  <si>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</si>
  <si>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江河湖库水系综合治理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</si>
  <si>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</si>
  <si>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</si>
  <si>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</si>
  <si>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</si>
  <si>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</si>
  <si>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</si>
  <si>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</si>
  <si>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</si>
  <si>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</si>
  <si>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</si>
  <si>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</si>
  <si>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</si>
  <si>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</si>
  <si>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</si>
  <si>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</si>
  <si>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</si>
  <si>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</si>
  <si>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</si>
  <si>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</si>
  <si>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</si>
  <si>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</si>
  <si>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</si>
  <si>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</si>
  <si>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</si>
  <si>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</si>
  <si>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</si>
  <si>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</si>
  <si>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</si>
  <si>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</si>
  <si>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</si>
  <si>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</si>
  <si>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</si>
  <si>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</si>
  <si>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</si>
  <si>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</si>
  <si>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</si>
  <si>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</si>
  <si>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</si>
  <si>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</si>
  <si>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</si>
  <si>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小额担保贷款贴息</t>
  </si>
  <si>
    <t xml:space="preserve">        补充小额担保贷款基金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</si>
  <si>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</si>
  <si>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</si>
  <si>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</si>
  <si>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</si>
  <si>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</si>
  <si>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</si>
  <si>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</si>
  <si>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</si>
  <si>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</si>
  <si>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</si>
  <si>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</si>
  <si>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</si>
  <si>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</si>
  <si>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</si>
  <si>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</si>
  <si>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</si>
  <si>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</si>
  <si>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</si>
  <si>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</si>
  <si>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</si>
  <si>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</si>
  <si>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</si>
  <si>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</si>
  <si>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</si>
  <si>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</si>
  <si>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</si>
  <si>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</si>
  <si>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</si>
  <si>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</si>
  <si>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</si>
  <si>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</si>
  <si>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</si>
  <si>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</si>
  <si>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</si>
  <si>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</si>
  <si>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</si>
  <si>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</si>
  <si>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</si>
  <si>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</si>
  <si>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</si>
  <si>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</si>
  <si>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</si>
  <si>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</si>
  <si>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</si>
  <si>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</si>
  <si>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</si>
  <si>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</si>
  <si>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</si>
  <si>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</si>
  <si>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</si>
  <si>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</si>
  <si>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</si>
  <si>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</si>
  <si>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</si>
  <si>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</si>
  <si>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</si>
  <si>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</si>
  <si>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</si>
  <si>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</si>
  <si>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</si>
  <si>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</si>
  <si>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</si>
  <si>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</si>
  <si>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</si>
  <si>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</si>
  <si>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</si>
  <si>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</si>
  <si>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</si>
  <si>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</si>
  <si>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</si>
  <si>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</si>
  <si>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</si>
  <si>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</si>
  <si>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</si>
  <si>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</si>
  <si>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</si>
  <si>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</si>
  <si>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</si>
  <si>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</si>
  <si>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</si>
  <si>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</si>
  <si>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</si>
  <si>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</si>
  <si>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</si>
  <si>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</si>
  <si>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</si>
  <si>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</si>
  <si>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</si>
  <si>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</si>
  <si>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</si>
  <si>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</si>
  <si>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</si>
  <si>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</si>
  <si>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</si>
  <si>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</si>
  <si>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</si>
  <si>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</si>
  <si>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</si>
  <si>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</si>
  <si>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</si>
  <si>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</si>
  <si>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</si>
  <si>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</si>
  <si>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</si>
  <si>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</si>
  <si>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</si>
  <si>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</si>
  <si>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</si>
  <si>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</si>
  <si>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</si>
  <si>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</si>
  <si>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</si>
  <si>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</si>
  <si>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</si>
  <si>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</si>
  <si>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</si>
  <si>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</si>
  <si>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</si>
  <si>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</si>
  <si>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</si>
  <si>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</si>
  <si>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</si>
  <si>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</si>
  <si>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</si>
  <si>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</si>
  <si>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</si>
  <si>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</si>
  <si>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</si>
  <si>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</si>
  <si>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</si>
  <si>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</si>
  <si>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</si>
  <si>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</si>
  <si>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</si>
  <si>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</si>
  <si>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</si>
  <si>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</si>
  <si>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</si>
  <si>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</si>
  <si>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</si>
  <si>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政策性银行亏损补贴1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</si>
  <si>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</si>
  <si>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</si>
  <si>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</si>
  <si>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</si>
  <si>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</si>
  <si>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</si>
  <si>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</si>
  <si>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</si>
  <si>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</si>
  <si>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</si>
  <si>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</si>
  <si>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</si>
  <si>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</si>
  <si>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</si>
  <si>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</si>
  <si>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</si>
  <si>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</si>
  <si>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</si>
  <si>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</si>
  <si>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</si>
  <si>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</si>
  <si>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</si>
  <si>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</si>
  <si>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</si>
  <si>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</si>
  <si>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</si>
  <si>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</si>
  <si>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</si>
  <si>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</si>
  <si>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</si>
  <si>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</si>
  <si>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</si>
  <si>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</si>
  <si>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</si>
  <si>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</si>
  <si>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</si>
  <si>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</si>
  <si>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</si>
  <si>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</si>
  <si>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</si>
  <si>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</si>
  <si>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</si>
  <si>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</si>
  <si>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</si>
  <si>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</si>
  <si>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</si>
  <si>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</si>
  <si>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</si>
  <si>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</si>
  <si>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</si>
  <si>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</si>
  <si>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</si>
  <si>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</si>
  <si>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</si>
  <si>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</si>
  <si>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</si>
  <si>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</si>
  <si>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</si>
  <si>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</si>
  <si>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</si>
  <si>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</si>
  <si>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</si>
  <si>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</si>
  <si>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</si>
  <si>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</si>
  <si>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</si>
  <si>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</si>
  <si>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</si>
  <si>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</si>
  <si>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</si>
  <si>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</si>
  <si>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</si>
  <si>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</si>
  <si>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</si>
  <si>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</si>
  <si>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</si>
  <si>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</si>
  <si>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</si>
  <si>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</si>
  <si>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</si>
  <si>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</si>
  <si>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</si>
  <si>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</si>
  <si>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</si>
  <si>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</si>
  <si>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</si>
  <si>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</si>
  <si>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</si>
  <si>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</si>
  <si>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</si>
  <si>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</si>
  <si>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</si>
  <si>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</si>
  <si>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</si>
  <si>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</si>
  <si>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</si>
  <si>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</si>
  <si>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</si>
  <si>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</si>
  <si>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</si>
  <si>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</si>
  <si>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</si>
  <si>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</si>
  <si>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</si>
  <si>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</si>
  <si>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</si>
  <si>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</si>
  <si>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</si>
  <si>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</si>
  <si>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</si>
  <si>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</si>
  <si>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</si>
  <si>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</si>
  <si>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</si>
  <si>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</si>
  <si>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</si>
  <si>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</si>
  <si>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</si>
  <si>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</si>
  <si>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</si>
  <si>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</si>
  <si>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</si>
  <si>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</si>
  <si>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</si>
  <si>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</si>
  <si>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</si>
  <si>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</si>
  <si>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</si>
  <si>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</si>
  <si>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</si>
  <si>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</si>
  <si>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</si>
  <si>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</si>
  <si>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</si>
  <si>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</si>
  <si>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</si>
  <si>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</si>
  <si>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</si>
  <si>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</si>
  <si>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</si>
  <si>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</si>
  <si>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</si>
  <si>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</si>
  <si>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</si>
  <si>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</si>
  <si>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</si>
  <si>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</si>
  <si>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</si>
  <si>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二十三、其他支出</t>
  </si>
  <si>
    <t xml:space="preserve">        年初预留</t>
  </si>
  <si>
    <t xml:space="preserve">        其他支出</t>
  </si>
  <si>
    <t>本级支出小计</t>
  </si>
  <si>
    <t>转移性支出（补助下级）</t>
  </si>
  <si>
    <t xml:space="preserve">  补助下级支出</t>
  </si>
  <si>
    <t xml:space="preserve">    专项转移支付支出</t>
  </si>
  <si>
    <t xml:space="preserve">      外交</t>
  </si>
  <si>
    <t xml:space="preserve">      国防</t>
  </si>
  <si>
    <t xml:space="preserve">      公共安全</t>
  </si>
  <si>
    <t xml:space="preserve">      科学技术</t>
  </si>
  <si>
    <t xml:space="preserve">      社会保障和就业</t>
  </si>
  <si>
    <t xml:space="preserve">      城乡社区</t>
  </si>
  <si>
    <t xml:space="preserve">      农林水</t>
  </si>
  <si>
    <t xml:space="preserve">      资源勘探电力信息等</t>
  </si>
  <si>
    <t xml:space="preserve">      商业服务业等</t>
  </si>
  <si>
    <t xml:space="preserve">      金融</t>
  </si>
  <si>
    <t xml:space="preserve">      国土海洋气象等</t>
  </si>
  <si>
    <t xml:space="preserve">      粮油物资储备</t>
  </si>
  <si>
    <t>支出总计</t>
  </si>
  <si>
    <t>2017年市本级一般公共预算收支平衡表</t>
  </si>
  <si>
    <t>一、市本级支出</t>
  </si>
  <si>
    <r>
      <t>2017</t>
    </r>
    <r>
      <rPr>
        <sz val="11"/>
        <rFont val="宋体"/>
        <family val="0"/>
      </rPr>
      <t>年预算数</t>
    </r>
  </si>
  <si>
    <t>2017年益阳市（汇总）政府性基金收入预算</t>
  </si>
  <si>
    <r>
      <t xml:space="preserve">   2016</t>
    </r>
    <r>
      <rPr>
        <sz val="10"/>
        <rFont val="宋体"/>
        <family val="0"/>
      </rPr>
      <t>年预计完成数</t>
    </r>
  </si>
  <si>
    <t>一、散装水泥专项资金收入</t>
  </si>
  <si>
    <t>二、新型墙体材料专项基金收入</t>
  </si>
  <si>
    <t>三、政府住房基金收入</t>
  </si>
  <si>
    <t xml:space="preserve">     其他政府住房基金收入</t>
  </si>
  <si>
    <t>四、城市公用事业附加收入</t>
  </si>
  <si>
    <t>五、国有土地收益基金收入</t>
  </si>
  <si>
    <t>六、农业土地开发资金收入</t>
  </si>
  <si>
    <t>七、国有土地使用权出让收入</t>
  </si>
  <si>
    <t xml:space="preserve">      土地出让价款收入</t>
  </si>
  <si>
    <t xml:space="preserve">      补缴的土地价款</t>
  </si>
  <si>
    <t xml:space="preserve">      缴纳新增建设用地土地有偿使用费</t>
  </si>
  <si>
    <t xml:space="preserve">      其他土地出让收入</t>
  </si>
  <si>
    <t>八、大中型水库库区基金收入</t>
  </si>
  <si>
    <t>九、城市基础设施配套费收入</t>
  </si>
  <si>
    <t>十、车辆通行费</t>
  </si>
  <si>
    <t>十一、水土保持补偿费收入</t>
  </si>
  <si>
    <t>十二、污水处理费收入</t>
  </si>
  <si>
    <t>十三、其他政府性基金收入</t>
  </si>
  <si>
    <r>
      <rPr>
        <sz val="12"/>
        <rFont val="宋体"/>
        <family val="0"/>
      </rPr>
      <t>说明：根据《财政部关于取消、停征和整合部分政府性基金项目等有关问题的通知》（财税</t>
    </r>
    <r>
      <rPr>
        <sz val="12"/>
        <rFont val="Times New Roman"/>
        <family val="1"/>
      </rPr>
      <t>[2016]11</t>
    </r>
    <r>
      <rPr>
        <sz val="12"/>
        <rFont val="宋体"/>
        <family val="0"/>
      </rPr>
      <t>号）文件精神，从今年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日起，停征价格调节基金和散装水泥专项资金。</t>
    </r>
  </si>
  <si>
    <t>2017年益阳市（汇总）政府性基金支出预算</t>
  </si>
  <si>
    <r>
      <t>2016</t>
    </r>
    <r>
      <rPr>
        <sz val="11"/>
        <rFont val="宋体"/>
        <family val="0"/>
      </rPr>
      <t>年预计财力完成数</t>
    </r>
  </si>
  <si>
    <t xml:space="preserve">    国家电影事业发展专项资金支出</t>
  </si>
  <si>
    <t xml:space="preserve">      资助国产影片放映</t>
  </si>
  <si>
    <t xml:space="preserve">      资助城市影院</t>
  </si>
  <si>
    <t xml:space="preserve">      其他国家电影事业发展专项资金支出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</si>
  <si>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</si>
  <si>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</si>
  <si>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</si>
  <si>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</si>
  <si>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</si>
  <si>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</si>
  <si>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三、城乡社区支出</t>
  </si>
  <si>
    <t xml:space="preserve">    政府住房基金支出</t>
  </si>
  <si>
    <t xml:space="preserve">      管理费用支出</t>
  </si>
  <si>
    <t xml:space="preserve">      廉租住房支出</t>
  </si>
  <si>
    <t xml:space="preserve">      公共租赁住房支出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</si>
  <si>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</si>
  <si>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</si>
  <si>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</si>
  <si>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</si>
  <si>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</si>
  <si>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</si>
  <si>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</si>
  <si>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</si>
  <si>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</si>
  <si>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支付破产或改制企业职工安置费</t>
  </si>
  <si>
    <t xml:space="preserve">      棚户区改造支出</t>
  </si>
  <si>
    <t xml:space="preserve">      其他国有土地使用权出让收入安排的支出</t>
  </si>
  <si>
    <t xml:space="preserve">    城市公用事业附加安排的支出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</si>
  <si>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</si>
  <si>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</si>
  <si>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</si>
  <si>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</si>
  <si>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</si>
  <si>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</si>
  <si>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</si>
  <si>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</si>
  <si>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</si>
  <si>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</si>
  <si>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城市基础设施配套费安排的支出</t>
  </si>
  <si>
    <t xml:space="preserve">      其他城市基础设施配套费安排的支出</t>
  </si>
  <si>
    <t xml:space="preserve">   污水处理费相关支出</t>
  </si>
  <si>
    <t xml:space="preserve">     其他污水处理相关支出</t>
  </si>
  <si>
    <t>四、农林水支出</t>
  </si>
  <si>
    <t xml:space="preserve">    新菜地开发建设基金支出</t>
  </si>
  <si>
    <t xml:space="preserve">      开发新菜地工程</t>
  </si>
  <si>
    <t xml:space="preserve">    大中型水库库区基金支出</t>
  </si>
  <si>
    <t xml:space="preserve">    国家重大水利工程建设基金支出</t>
  </si>
  <si>
    <t xml:space="preserve">      三峡工程后续工作</t>
  </si>
  <si>
    <t xml:space="preserve">    水土保持补偿费安排的支出</t>
  </si>
  <si>
    <t xml:space="preserve">      预防保护和监督管理</t>
  </si>
  <si>
    <t xml:space="preserve">      其他水土保持补偿费安排的支出</t>
  </si>
  <si>
    <t>五、交通运输支出</t>
  </si>
  <si>
    <t xml:space="preserve">    车辆通行费安排的支出</t>
  </si>
  <si>
    <t xml:space="preserve">      其他车辆通行费安排的支出</t>
  </si>
  <si>
    <t>六、资源勘探信息等支出</t>
  </si>
  <si>
    <t xml:space="preserve">    散装水泥专项资金支出</t>
  </si>
  <si>
    <t xml:space="preserve">      其他散装水泥专项资金支出</t>
  </si>
  <si>
    <t xml:space="preserve">    新型墙体材料专项基金支出</t>
  </si>
  <si>
    <t xml:space="preserve">      技改贴息和补助</t>
  </si>
  <si>
    <t xml:space="preserve">      其他新型墙体材料专项基金支出</t>
  </si>
  <si>
    <t>七、商业服务业等支出</t>
  </si>
  <si>
    <t xml:space="preserve">    旅游发展基金支出</t>
  </si>
  <si>
    <t xml:space="preserve">      地方旅游开发项目补助</t>
  </si>
  <si>
    <t>八、其他支出</t>
  </si>
  <si>
    <t xml:space="preserve">    其他政府性基金支出</t>
  </si>
  <si>
    <t xml:space="preserve">    彩票发行销售机构业务费安排的支出</t>
  </si>
  <si>
    <t xml:space="preserve">      福利彩票销售机构的业务费支出</t>
  </si>
  <si>
    <t xml:space="preserve">      彩票市场调控资金支出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</si>
  <si>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</si>
  <si>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</si>
  <si>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</si>
  <si>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</si>
  <si>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</si>
  <si>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</si>
  <si>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用于城乡医疗求助的的彩票公益金支出</t>
  </si>
  <si>
    <t>2017年市本级政府性基金收入预算</t>
  </si>
  <si>
    <t>2017年市本级政府性基金支出预算</t>
  </si>
  <si>
    <t>一、城乡社区支出</t>
  </si>
  <si>
    <t xml:space="preserve">     其他污水处理费相关支出</t>
  </si>
  <si>
    <t>二、资源勘探信息等支出</t>
  </si>
  <si>
    <t>三、其他支出</t>
  </si>
  <si>
    <t>五、其他支出</t>
  </si>
  <si>
    <t>2017年市本级国有资本经营预算收支预算总表</t>
  </si>
  <si>
    <r>
      <t>收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入</t>
    </r>
  </si>
  <si>
    <r>
      <t>支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出</t>
    </r>
  </si>
  <si>
    <r>
      <t>项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目</t>
    </r>
  </si>
  <si>
    <t>2017 年预算数</t>
  </si>
  <si>
    <t>一、教育支出</t>
  </si>
  <si>
    <t xml:space="preserve">    投资服务企业利润收入</t>
  </si>
  <si>
    <t>二、科学技术支出</t>
  </si>
  <si>
    <t xml:space="preserve">    石油石化企业利润收入</t>
  </si>
  <si>
    <t>三、文化体育与传媒支出</t>
  </si>
  <si>
    <t xml:space="preserve">    其他国有资本经营预算企业利润收入</t>
  </si>
  <si>
    <t>四、社会保障和就业支出</t>
  </si>
  <si>
    <t>二、股利、股息收入</t>
  </si>
  <si>
    <t>五、节能环保支出</t>
  </si>
  <si>
    <r>
      <t xml:space="preserve">          </t>
    </r>
    <r>
      <rPr>
        <sz val="11"/>
        <rFont val="宋体"/>
        <family val="0"/>
      </rPr>
      <t>国有控股公司股利、股息收入</t>
    </r>
  </si>
  <si>
    <t>六、城乡社区事务支出</t>
  </si>
  <si>
    <r>
      <t xml:space="preserve">          </t>
    </r>
    <r>
      <rPr>
        <sz val="11"/>
        <rFont val="宋体"/>
        <family val="0"/>
      </rPr>
      <t>国有参股公司股利、股息收入</t>
    </r>
  </si>
  <si>
    <t>七、农林水支出</t>
  </si>
  <si>
    <r>
      <t xml:space="preserve">          </t>
    </r>
    <r>
      <rPr>
        <sz val="11"/>
        <rFont val="宋体"/>
        <family val="0"/>
      </rPr>
      <t>其他国有资本经营预算企业股利、股息收入</t>
    </r>
  </si>
  <si>
    <t>八、交通运输支出</t>
  </si>
  <si>
    <t>三、产权转让收入</t>
  </si>
  <si>
    <t>九、资源勘探电力信息等支出</t>
  </si>
  <si>
    <t>十、商业服务业等支出</t>
  </si>
  <si>
    <t>四、清算收入</t>
  </si>
  <si>
    <t>十一、其他支出</t>
  </si>
  <si>
    <t>十二、转移性支出</t>
  </si>
  <si>
    <t>五、其他国有资本经营收入</t>
  </si>
  <si>
    <t xml:space="preserve">    1、国有资本经营预算调出资金</t>
  </si>
  <si>
    <t>本年收入合计</t>
  </si>
  <si>
    <t>本年支出合计</t>
  </si>
  <si>
    <t>上年结转</t>
  </si>
  <si>
    <t>结转下年</t>
  </si>
  <si>
    <r>
      <t>收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入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总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计</t>
    </r>
  </si>
  <si>
    <r>
      <t>支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总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计</t>
    </r>
  </si>
  <si>
    <t>2017年市本级国有资本经营预算收入明细表</t>
  </si>
  <si>
    <t>科目名称/企业</t>
  </si>
  <si>
    <t xml:space="preserve">  1、投资服务企业利润收入</t>
  </si>
  <si>
    <t xml:space="preserve">     市交通发展投资有限责任公司</t>
  </si>
  <si>
    <t xml:space="preserve">     市城市建设投资开发有限责任公司</t>
  </si>
  <si>
    <t xml:space="preserve">     市财源建设投资有限公司</t>
  </si>
  <si>
    <t xml:space="preserve">  2、其他国有资本经营预算企业利润收入</t>
  </si>
  <si>
    <t xml:space="preserve">     市银湘国有资产经营有限公司</t>
  </si>
  <si>
    <t>五、其他国有资本经营预算收入</t>
  </si>
  <si>
    <r>
      <t xml:space="preserve"> </t>
    </r>
    <r>
      <rPr>
        <b/>
        <sz val="12"/>
        <rFont val="宋体"/>
        <family val="0"/>
      </rPr>
      <t>合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计</t>
    </r>
  </si>
  <si>
    <t>2017年市本级国有资本经营预算支出明细表</t>
  </si>
  <si>
    <t>项目名称</t>
  </si>
  <si>
    <t>小计</t>
  </si>
  <si>
    <t>资本性支出</t>
  </si>
  <si>
    <t>费用性支出</t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</si>
  <si>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向国有独资投入或追加资本金</t>
    </r>
  </si>
  <si>
    <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股权投资</t>
    </r>
  </si>
  <si>
    <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收购企业产权（股权）</t>
    </r>
  </si>
  <si>
    <r>
      <t>4</t>
    </r>
    <r>
      <rPr>
        <sz val="12"/>
        <rFont val="宋体"/>
        <family val="0"/>
      </rPr>
      <t>.</t>
    </r>
    <r>
      <rPr>
        <sz val="12"/>
        <rFont val="宋体"/>
        <family val="0"/>
      </rPr>
      <t>弥补企业改革成本缺口支出</t>
    </r>
  </si>
  <si>
    <r>
      <t>5</t>
    </r>
    <r>
      <rPr>
        <sz val="12"/>
        <rFont val="宋体"/>
        <family val="0"/>
      </rPr>
      <t>.</t>
    </r>
    <r>
      <rPr>
        <sz val="12"/>
        <rFont val="宋体"/>
        <family val="0"/>
      </rPr>
      <t>国有产（股）权监管成本支出</t>
    </r>
  </si>
  <si>
    <t>6.其他支出（还本付息支出）</t>
  </si>
  <si>
    <t>7、国有资本经营预算调出资金</t>
  </si>
  <si>
    <r>
      <t xml:space="preserve">合 </t>
    </r>
    <r>
      <rPr>
        <b/>
        <sz val="9"/>
        <rFont val="宋体"/>
        <family val="0"/>
      </rPr>
      <t xml:space="preserve">   </t>
    </r>
    <r>
      <rPr>
        <b/>
        <sz val="12"/>
        <rFont val="宋体"/>
        <family val="0"/>
      </rPr>
      <t xml:space="preserve"> 计</t>
    </r>
  </si>
  <si>
    <t>2017年市本级社会保险基金预算汇总表</t>
  </si>
  <si>
    <t>项        目</t>
  </si>
  <si>
    <t>企业职工基本养老保险基金</t>
  </si>
  <si>
    <t>机关事业养老保险基金</t>
  </si>
  <si>
    <t>失业保险基金</t>
  </si>
  <si>
    <t>城镇职工基本医疗保险基金</t>
  </si>
  <si>
    <t>工伤保险基金</t>
  </si>
  <si>
    <t>生育保险基金</t>
  </si>
  <si>
    <t>一、上年结余</t>
  </si>
  <si>
    <t>二、本年收入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</si>
  <si>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</si>
  <si>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</si>
  <si>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</si>
  <si>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4、其他收入</t>
  </si>
  <si>
    <t xml:space="preserve">           5、转移收入</t>
  </si>
  <si>
    <t xml:space="preserve">           6、上级补助收入</t>
  </si>
  <si>
    <t xml:space="preserve">           7、下级上解收入</t>
  </si>
  <si>
    <t>三、本年支出</t>
  </si>
  <si>
    <t xml:space="preserve">    其中： 1、社会保险待遇支出</t>
  </si>
  <si>
    <t xml:space="preserve">           2、其他支出</t>
  </si>
  <si>
    <t xml:space="preserve">           3、转移支出</t>
  </si>
  <si>
    <t xml:space="preserve">           4、补助下级支出</t>
  </si>
  <si>
    <t xml:space="preserve">           5、上解上级支出</t>
  </si>
  <si>
    <t>四、本年收支结余</t>
  </si>
  <si>
    <t>五、年末滚存结余</t>
  </si>
  <si>
    <t>2017年市本级企业职工基本养老保险基金预算表</t>
  </si>
  <si>
    <t>项         目</t>
  </si>
  <si>
    <t>2016年预计执行数</t>
  </si>
  <si>
    <t>增长%</t>
  </si>
  <si>
    <t>项       目</t>
  </si>
  <si>
    <t>一、基本养老保险费收入</t>
  </si>
  <si>
    <t>一、基本养老金支出</t>
  </si>
  <si>
    <t>二、利息收入</t>
  </si>
  <si>
    <t>二、医疗补助金支出</t>
  </si>
  <si>
    <t>三、财政补贴收入</t>
  </si>
  <si>
    <t>三、丧葬抚恤补助支出</t>
  </si>
  <si>
    <t>四、转移收入</t>
  </si>
  <si>
    <t>四、转移支出</t>
  </si>
  <si>
    <t>五、上级补助收入</t>
  </si>
  <si>
    <t>五、补助下级支出</t>
  </si>
  <si>
    <t>六、下级上解收入</t>
  </si>
  <si>
    <t>六、上解上级支出</t>
  </si>
  <si>
    <t>七、其他收入</t>
  </si>
  <si>
    <t>七、其他支出</t>
  </si>
  <si>
    <t>八、本年收入合计</t>
  </si>
  <si>
    <t>八、本年支出合计</t>
  </si>
  <si>
    <t>九、本年收支结余</t>
  </si>
  <si>
    <t>九、上年结余</t>
  </si>
  <si>
    <t>十、年末滚存结余</t>
  </si>
  <si>
    <t>总        计</t>
  </si>
  <si>
    <t>2017年市本级机关事业单位养老保险基金预算表</t>
  </si>
  <si>
    <t>二、转移支出</t>
  </si>
  <si>
    <t>三、补助下级支出</t>
  </si>
  <si>
    <t>四、上解上级支出</t>
  </si>
  <si>
    <t>六、本年支出合计</t>
  </si>
  <si>
    <t>七、本年收支结余</t>
  </si>
  <si>
    <t>八、年末滚存结余</t>
  </si>
  <si>
    <t>2017年市本级失业保险基金预算表</t>
  </si>
  <si>
    <t>项           目</t>
  </si>
  <si>
    <t>一、失业保险费收入</t>
  </si>
  <si>
    <t>一、失业保险金支出</t>
  </si>
  <si>
    <t>四、职业培训补贴支出</t>
  </si>
  <si>
    <t>五、职业介绍补贴支出</t>
  </si>
  <si>
    <t>六、其他费用支出</t>
  </si>
  <si>
    <t>七、转移支出</t>
  </si>
  <si>
    <t>八、补助下级支出</t>
  </si>
  <si>
    <t>九、上解上级支出</t>
  </si>
  <si>
    <t>十、其他支出</t>
  </si>
  <si>
    <t>十一、本年支出合计</t>
  </si>
  <si>
    <t>十二、本年收支结余</t>
  </si>
  <si>
    <t>十三、年末滚存结余</t>
  </si>
  <si>
    <t>2017年市本级城镇职工基本医疗保险基金预算表</t>
  </si>
  <si>
    <t>项    目</t>
  </si>
  <si>
    <t>项目</t>
  </si>
  <si>
    <t>基本医疗保险统筹基金</t>
  </si>
  <si>
    <t>医疗保险个人账户基金</t>
  </si>
  <si>
    <t>一、基本医疗保险费收入</t>
  </si>
  <si>
    <t>一、基本医疗保险待遇支出</t>
  </si>
  <si>
    <t>二、其他支出</t>
  </si>
  <si>
    <t>三、转移支出</t>
  </si>
  <si>
    <t>四、其他收入</t>
  </si>
  <si>
    <t>四、补助下级支出</t>
  </si>
  <si>
    <t>五、转移收入</t>
  </si>
  <si>
    <t>五、上解上级支出</t>
  </si>
  <si>
    <t>六、上级补助收入</t>
  </si>
  <si>
    <t>七、下级上解收入</t>
  </si>
  <si>
    <t>总   计</t>
  </si>
  <si>
    <t>总    计</t>
  </si>
  <si>
    <t>2017年市本级工伤保险基金预算表</t>
  </si>
  <si>
    <t>一、工伤保险费收入</t>
  </si>
  <si>
    <t>一、工伤保险待遇支出</t>
  </si>
  <si>
    <t>二、劳动能力鉴定支出</t>
  </si>
  <si>
    <t>三、工伤预防费用支出</t>
  </si>
  <si>
    <t>五、其他收入</t>
  </si>
  <si>
    <t>六、补助下级支出</t>
  </si>
  <si>
    <t>七、上解上级支出</t>
  </si>
  <si>
    <t>×</t>
  </si>
  <si>
    <t>十、上年结余</t>
  </si>
  <si>
    <t>2017年市本级生育保险基金预算表</t>
  </si>
  <si>
    <t>2016年执行数</t>
  </si>
  <si>
    <t>一、生育保险费收入</t>
  </si>
  <si>
    <t>一、医疗费用支出</t>
  </si>
  <si>
    <t>二、生育津贴支出</t>
  </si>
  <si>
    <t>四、其他支出</t>
  </si>
  <si>
    <t>七、本年支出合计</t>
  </si>
  <si>
    <t>八、本年收支结余</t>
  </si>
  <si>
    <t>九、年末滚存结余</t>
  </si>
  <si>
    <t>补助下级支出</t>
  </si>
  <si>
    <t>8、补助下级支出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</si>
</sst>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0_ "/>
    <numFmt numFmtId="179" formatCode="0.00_ "/>
    <numFmt numFmtId="180" formatCode="0_);[Red]\(0\)"/>
    <numFmt numFmtId="181" formatCode="0;_"/>
    <numFmt numFmtId="182" formatCode="0.0_);[Red]\(0.0\)"/>
    <numFmt numFmtId="183" formatCode="0.0_ "/>
    <numFmt numFmtId="184" formatCode="0;_퓿"/>
    <numFmt numFmtId="185" formatCode="#,##0.00_ "/>
  </numFmts>
  <fonts count="7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22"/>
      <color indexed="8"/>
      <name val="方正小标宋简体"/>
      <family val="0"/>
    </font>
    <font>
      <sz val="24"/>
      <color indexed="8"/>
      <name val="宋体"/>
      <family val="0"/>
    </font>
    <font>
      <b/>
      <sz val="17"/>
      <color indexed="8"/>
      <name val="华文中宋"/>
      <family val="0"/>
    </font>
    <font>
      <b/>
      <sz val="11"/>
      <color indexed="8"/>
      <name val="黑体"/>
      <family val="3"/>
    </font>
    <font>
      <sz val="12"/>
      <color indexed="8"/>
      <name val="Arial Narrow"/>
      <family val="2"/>
    </font>
    <font>
      <sz val="11"/>
      <name val="宋体"/>
      <family val="0"/>
    </font>
    <font>
      <sz val="18"/>
      <name val="黑体"/>
      <family val="3"/>
    </font>
    <font>
      <sz val="11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0"/>
      <name val="宋体"/>
      <family val="0"/>
    </font>
    <font>
      <b/>
      <sz val="11"/>
      <name val="宋体"/>
      <family val="0"/>
    </font>
    <font>
      <sz val="22"/>
      <name val="Times New Roman"/>
      <family val="1"/>
    </font>
    <font>
      <sz val="22"/>
      <name val="方正小标宋简体"/>
      <family val="0"/>
    </font>
    <font>
      <b/>
      <sz val="11"/>
      <name val="Times New Roman"/>
      <family val="1"/>
    </font>
    <font>
      <b/>
      <sz val="22"/>
      <name val="方正小标宋简体"/>
      <family val="0"/>
    </font>
    <font>
      <sz val="10.5"/>
      <name val="宋体"/>
      <family val="0"/>
    </font>
    <font>
      <sz val="12"/>
      <name val="黑体"/>
      <family val="3"/>
    </font>
    <font>
      <b/>
      <sz val="10.5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0.5"/>
      <name val="Times New Roman"/>
      <family val="1"/>
    </font>
    <font>
      <sz val="18"/>
      <name val="Times New Roman"/>
      <family val="1"/>
    </font>
    <font>
      <b/>
      <sz val="17"/>
      <name val="方正小标宋简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0"/>
      <name val="Geneva"/>
      <family val="2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82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>
      <alignment/>
      <protection/>
    </xf>
    <xf numFmtId="0" fontId="8" fillId="0" borderId="0">
      <alignment/>
      <protection/>
    </xf>
    <xf numFmtId="0" fontId="6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8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6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16" borderId="5" applyNumberFormat="0" applyAlignment="0" applyProtection="0"/>
    <xf numFmtId="0" fontId="57" fillId="17" borderId="6" applyNumberFormat="0" applyAlignment="0" applyProtection="0"/>
    <xf numFmtId="0" fontId="5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21" borderId="0" applyNumberFormat="0" applyBorder="0" applyAlignment="0" applyProtection="0"/>
    <xf numFmtId="0" fontId="60" fillId="22" borderId="0" applyNumberFormat="0" applyBorder="0" applyAlignment="0" applyProtection="0"/>
    <xf numFmtId="0" fontId="41" fillId="16" borderId="8" applyNumberFormat="0" applyAlignment="0" applyProtection="0"/>
    <xf numFmtId="0" fontId="47" fillId="7" borderId="5" applyNumberFormat="0" applyAlignment="0" applyProtection="0"/>
    <xf numFmtId="0" fontId="49" fillId="0" borderId="0">
      <alignment/>
      <protection/>
    </xf>
    <xf numFmtId="0" fontId="5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8">
    <xf numFmtId="0" fontId="0" fillId="0" borderId="0" xfId="0" applyAlignment="1">
      <alignment/>
    </xf>
    <xf numFmtId="0" fontId="2" fillId="0" borderId="0" xfId="144">
      <alignment/>
      <protection/>
    </xf>
    <xf numFmtId="0" fontId="3" fillId="24" borderId="0" xfId="144" applyNumberFormat="1" applyFont="1" applyFill="1" applyBorder="1" applyAlignment="1" applyProtection="1">
      <alignment vertical="center"/>
      <protection/>
    </xf>
    <xf numFmtId="0" fontId="1" fillId="24" borderId="0" xfId="144" applyNumberFormat="1" applyFont="1" applyFill="1" applyBorder="1" applyAlignment="1" applyProtection="1">
      <alignment vertical="center"/>
      <protection/>
    </xf>
    <xf numFmtId="0" fontId="5" fillId="24" borderId="0" xfId="144" applyNumberFormat="1" applyFont="1" applyFill="1" applyBorder="1" applyAlignment="1" applyProtection="1">
      <alignment horizontal="center" vertical="center"/>
      <protection/>
    </xf>
    <xf numFmtId="0" fontId="5" fillId="24" borderId="0" xfId="144" applyNumberFormat="1" applyFont="1" applyFill="1" applyBorder="1" applyAlignment="1" applyProtection="1">
      <alignment horizontal="right" vertical="center"/>
      <protection/>
    </xf>
    <xf numFmtId="0" fontId="5" fillId="24" borderId="10" xfId="144" applyNumberFormat="1" applyFont="1" applyFill="1" applyBorder="1" applyAlignment="1" applyProtection="1">
      <alignment vertical="center"/>
      <protection/>
    </xf>
    <xf numFmtId="0" fontId="5" fillId="24" borderId="10" xfId="144" applyNumberFormat="1" applyFont="1" applyFill="1" applyBorder="1" applyAlignment="1" applyProtection="1">
      <alignment horizontal="right" vertical="center"/>
      <protection/>
    </xf>
    <xf numFmtId="0" fontId="1" fillId="24" borderId="10" xfId="144" applyNumberFormat="1" applyFont="1" applyFill="1" applyBorder="1" applyAlignment="1" applyProtection="1">
      <alignment horizontal="right" vertical="center"/>
      <protection/>
    </xf>
    <xf numFmtId="0" fontId="6" fillId="24" borderId="11" xfId="144" applyNumberFormat="1" applyFont="1" applyFill="1" applyBorder="1" applyAlignment="1" applyProtection="1">
      <alignment horizontal="center" vertical="center"/>
      <protection/>
    </xf>
    <xf numFmtId="0" fontId="6" fillId="24" borderId="12" xfId="144" applyNumberFormat="1" applyFont="1" applyFill="1" applyBorder="1" applyAlignment="1" applyProtection="1">
      <alignment horizontal="center" vertical="center"/>
      <protection/>
    </xf>
    <xf numFmtId="0" fontId="1" fillId="24" borderId="11" xfId="144" applyNumberFormat="1" applyFont="1" applyFill="1" applyBorder="1" applyAlignment="1" applyProtection="1">
      <alignment vertical="center"/>
      <protection/>
    </xf>
    <xf numFmtId="178" fontId="7" fillId="0" borderId="11" xfId="144" applyNumberFormat="1" applyFont="1" applyFill="1" applyBorder="1" applyAlignment="1" applyProtection="1">
      <alignment horizontal="center" vertical="center"/>
      <protection/>
    </xf>
    <xf numFmtId="179" fontId="8" fillId="0" borderId="13" xfId="144" applyNumberFormat="1" applyFont="1" applyBorder="1" applyAlignment="1">
      <alignment horizontal="center" vertical="center"/>
      <protection/>
    </xf>
    <xf numFmtId="0" fontId="1" fillId="0" borderId="14" xfId="144" applyNumberFormat="1" applyFont="1" applyFill="1" applyBorder="1" applyAlignment="1" applyProtection="1">
      <alignment vertical="center"/>
      <protection/>
    </xf>
    <xf numFmtId="178" fontId="7" fillId="0" borderId="12" xfId="144" applyNumberFormat="1" applyFont="1" applyFill="1" applyBorder="1" applyAlignment="1" applyProtection="1">
      <alignment horizontal="center" vertical="center"/>
      <protection/>
    </xf>
    <xf numFmtId="179" fontId="7" fillId="0" borderId="13" xfId="144" applyNumberFormat="1" applyFont="1" applyFill="1" applyBorder="1" applyAlignment="1" applyProtection="1">
      <alignment horizontal="center" vertical="center"/>
      <protection/>
    </xf>
    <xf numFmtId="0" fontId="1" fillId="0" borderId="11" xfId="144" applyNumberFormat="1" applyFont="1" applyFill="1" applyBorder="1" applyAlignment="1" applyProtection="1">
      <alignment horizontal="center" vertical="center"/>
      <protection/>
    </xf>
    <xf numFmtId="0" fontId="1" fillId="0" borderId="11" xfId="144" applyNumberFormat="1" applyFont="1" applyFill="1" applyBorder="1" applyAlignment="1" applyProtection="1">
      <alignment vertical="center"/>
      <protection/>
    </xf>
    <xf numFmtId="178" fontId="7" fillId="0" borderId="14" xfId="144" applyNumberFormat="1" applyFont="1" applyFill="1" applyBorder="1" applyAlignment="1" applyProtection="1">
      <alignment horizontal="center" vertical="center"/>
      <protection/>
    </xf>
    <xf numFmtId="178" fontId="7" fillId="0" borderId="15" xfId="144" applyNumberFormat="1" applyFont="1" applyFill="1" applyBorder="1" applyAlignment="1" applyProtection="1">
      <alignment horizontal="center" vertical="center"/>
      <protection/>
    </xf>
    <xf numFmtId="0" fontId="1" fillId="24" borderId="11" xfId="144" applyNumberFormat="1" applyFont="1" applyFill="1" applyBorder="1" applyAlignment="1" applyProtection="1">
      <alignment horizontal="center" vertical="center"/>
      <protection/>
    </xf>
    <xf numFmtId="0" fontId="6" fillId="0" borderId="14" xfId="144" applyNumberFormat="1" applyFont="1" applyFill="1" applyBorder="1" applyAlignment="1" applyProtection="1">
      <alignment horizontal="center" vertical="center"/>
      <protection/>
    </xf>
    <xf numFmtId="0" fontId="9" fillId="24" borderId="0" xfId="144" applyNumberFormat="1" applyFont="1" applyFill="1" applyBorder="1" applyAlignment="1" applyProtection="1">
      <alignment horizontal="center" vertical="center"/>
      <protection/>
    </xf>
    <xf numFmtId="0" fontId="6" fillId="24" borderId="11" xfId="144" applyNumberFormat="1" applyFont="1" applyFill="1" applyBorder="1" applyAlignment="1" applyProtection="1">
      <alignment horizontal="center" vertical="center" wrapText="1"/>
      <protection/>
    </xf>
    <xf numFmtId="0" fontId="2" fillId="0" borderId="0" xfId="144" applyFont="1">
      <alignment/>
      <protection/>
    </xf>
    <xf numFmtId="0" fontId="10" fillId="24" borderId="16" xfId="144" applyNumberFormat="1" applyFont="1" applyFill="1" applyBorder="1" applyAlignment="1" applyProtection="1">
      <alignment horizontal="center" vertical="center"/>
      <protection/>
    </xf>
    <xf numFmtId="0" fontId="10" fillId="24" borderId="12" xfId="144" applyNumberFormat="1" applyFont="1" applyFill="1" applyBorder="1" applyAlignment="1" applyProtection="1">
      <alignment horizontal="center" vertical="center"/>
      <protection/>
    </xf>
    <xf numFmtId="0" fontId="10" fillId="24" borderId="16" xfId="144" applyNumberFormat="1" applyFont="1" applyFill="1" applyBorder="1" applyAlignment="1" applyProtection="1">
      <alignment horizontal="center" vertical="center" wrapText="1"/>
      <protection/>
    </xf>
    <xf numFmtId="0" fontId="10" fillId="24" borderId="17" xfId="144" applyNumberFormat="1" applyFont="1" applyFill="1" applyBorder="1" applyAlignment="1" applyProtection="1">
      <alignment horizontal="center" vertical="center" wrapText="1"/>
      <protection/>
    </xf>
    <xf numFmtId="0" fontId="10" fillId="24" borderId="18" xfId="144" applyNumberFormat="1" applyFont="1" applyFill="1" applyBorder="1" applyAlignment="1" applyProtection="1">
      <alignment horizontal="center" vertical="center" wrapText="1"/>
      <protection/>
    </xf>
    <xf numFmtId="0" fontId="3" fillId="24" borderId="19" xfId="144" applyNumberFormat="1" applyFont="1" applyFill="1" applyBorder="1" applyAlignment="1" applyProtection="1">
      <alignment vertical="center" wrapText="1"/>
      <protection/>
    </xf>
    <xf numFmtId="178" fontId="11" fillId="0" borderId="13" xfId="144" applyNumberFormat="1" applyFont="1" applyFill="1" applyBorder="1" applyAlignment="1" applyProtection="1">
      <alignment horizontal="center" vertical="center"/>
      <protection/>
    </xf>
    <xf numFmtId="178" fontId="12" fillId="0" borderId="13" xfId="144" applyNumberFormat="1" applyFont="1" applyBorder="1" applyAlignment="1">
      <alignment horizontal="center" vertical="center"/>
      <protection/>
    </xf>
    <xf numFmtId="178" fontId="11" fillId="0" borderId="20" xfId="144" applyNumberFormat="1" applyFont="1" applyFill="1" applyBorder="1" applyAlignment="1" applyProtection="1">
      <alignment horizontal="center" vertical="center"/>
      <protection/>
    </xf>
    <xf numFmtId="179" fontId="11" fillId="0" borderId="13" xfId="144" applyNumberFormat="1" applyFont="1" applyFill="1" applyBorder="1" applyAlignment="1" applyProtection="1">
      <alignment horizontal="center" vertical="center"/>
      <protection/>
    </xf>
    <xf numFmtId="0" fontId="3" fillId="24" borderId="12" xfId="144" applyNumberFormat="1" applyFont="1" applyFill="1" applyBorder="1" applyAlignment="1" applyProtection="1">
      <alignment vertical="center" wrapText="1"/>
      <protection/>
    </xf>
    <xf numFmtId="0" fontId="5" fillId="0" borderId="0" xfId="144" applyNumberFormat="1" applyFont="1" applyFill="1" applyBorder="1" applyAlignment="1" applyProtection="1">
      <alignment/>
      <protection/>
    </xf>
    <xf numFmtId="0" fontId="5" fillId="0" borderId="0" xfId="144" applyNumberFormat="1" applyFont="1" applyFill="1" applyBorder="1" applyAlignment="1" applyProtection="1">
      <alignment vertical="center"/>
      <protection/>
    </xf>
    <xf numFmtId="0" fontId="2" fillId="0" borderId="0" xfId="144" applyFill="1">
      <alignment/>
      <protection/>
    </xf>
    <xf numFmtId="0" fontId="13" fillId="24" borderId="0" xfId="144" applyNumberFormat="1" applyFont="1" applyFill="1" applyBorder="1" applyAlignment="1" applyProtection="1">
      <alignment horizontal="center" vertical="center"/>
      <protection/>
    </xf>
    <xf numFmtId="0" fontId="3" fillId="24" borderId="14" xfId="144" applyNumberFormat="1" applyFont="1" applyFill="1" applyBorder="1" applyAlignment="1" applyProtection="1">
      <alignment vertical="center" wrapText="1"/>
      <protection/>
    </xf>
    <xf numFmtId="178" fontId="10" fillId="0" borderId="21" xfId="144" applyNumberFormat="1" applyFont="1" applyFill="1" applyBorder="1" applyAlignment="1" applyProtection="1">
      <alignment horizontal="center" vertical="center"/>
      <protection/>
    </xf>
    <xf numFmtId="0" fontId="5" fillId="0" borderId="0" xfId="144" applyNumberFormat="1" applyFont="1" applyFill="1" applyBorder="1" applyAlignment="1" applyProtection="1">
      <alignment horizontal="right" vertical="center"/>
      <protection/>
    </xf>
    <xf numFmtId="0" fontId="2" fillId="0" borderId="0" xfId="144" applyFont="1" applyFill="1">
      <alignment/>
      <protection/>
    </xf>
    <xf numFmtId="0" fontId="14" fillId="24" borderId="0" xfId="144" applyNumberFormat="1" applyFont="1" applyFill="1" applyBorder="1" applyAlignment="1" applyProtection="1">
      <alignment vertical="center"/>
      <protection/>
    </xf>
    <xf numFmtId="0" fontId="1" fillId="24" borderId="22" xfId="144" applyNumberFormat="1" applyFont="1" applyFill="1" applyBorder="1" applyAlignment="1" applyProtection="1">
      <alignment horizontal="center" vertical="center"/>
      <protection/>
    </xf>
    <xf numFmtId="0" fontId="1" fillId="24" borderId="23" xfId="144" applyNumberFormat="1" applyFont="1" applyFill="1" applyBorder="1" applyAlignment="1" applyProtection="1">
      <alignment horizontal="center" vertical="center"/>
      <protection/>
    </xf>
    <xf numFmtId="0" fontId="6" fillId="0" borderId="11" xfId="144" applyNumberFormat="1" applyFont="1" applyFill="1" applyBorder="1" applyAlignment="1" applyProtection="1">
      <alignment horizontal="center" vertical="center"/>
      <protection/>
    </xf>
    <xf numFmtId="0" fontId="15" fillId="24" borderId="0" xfId="144" applyNumberFormat="1" applyFont="1" applyFill="1" applyBorder="1" applyAlignment="1" applyProtection="1">
      <alignment horizontal="center" vertical="center"/>
      <protection/>
    </xf>
    <xf numFmtId="0" fontId="5" fillId="24" borderId="0" xfId="144" applyNumberFormat="1" applyFont="1" applyFill="1" applyBorder="1" applyAlignment="1" applyProtection="1">
      <alignment vertical="center"/>
      <protection/>
    </xf>
    <xf numFmtId="0" fontId="6" fillId="24" borderId="13" xfId="144" applyNumberFormat="1" applyFont="1" applyFill="1" applyBorder="1" applyAlignment="1" applyProtection="1">
      <alignment horizontal="center" vertical="center"/>
      <protection/>
    </xf>
    <xf numFmtId="0" fontId="6" fillId="24" borderId="14" xfId="144" applyNumberFormat="1" applyFont="1" applyFill="1" applyBorder="1" applyAlignment="1" applyProtection="1">
      <alignment horizontal="center" vertical="center"/>
      <protection/>
    </xf>
    <xf numFmtId="179" fontId="7" fillId="0" borderId="11" xfId="144" applyNumberFormat="1" applyFont="1" applyFill="1" applyBorder="1" applyAlignment="1" applyProtection="1">
      <alignment horizontal="center" vertical="center"/>
      <protection/>
    </xf>
    <xf numFmtId="0" fontId="1" fillId="0" borderId="14" xfId="144" applyNumberFormat="1" applyFont="1" applyFill="1" applyBorder="1" applyAlignment="1" applyProtection="1">
      <alignment horizontal="center" vertical="center"/>
      <protection/>
    </xf>
    <xf numFmtId="0" fontId="16" fillId="24" borderId="11" xfId="144" applyNumberFormat="1" applyFont="1" applyFill="1" applyBorder="1" applyAlignment="1" applyProtection="1">
      <alignment horizontal="center" vertical="center"/>
      <protection/>
    </xf>
    <xf numFmtId="0" fontId="16" fillId="24" borderId="11" xfId="144" applyNumberFormat="1" applyFont="1" applyFill="1" applyBorder="1" applyAlignment="1" applyProtection="1">
      <alignment horizontal="center" vertical="center" wrapText="1"/>
      <protection/>
    </xf>
    <xf numFmtId="0" fontId="16" fillId="24" borderId="16" xfId="144" applyNumberFormat="1" applyFont="1" applyFill="1" applyBorder="1" applyAlignment="1" applyProtection="1">
      <alignment horizontal="center" vertical="center"/>
      <protection/>
    </xf>
    <xf numFmtId="0" fontId="16" fillId="24" borderId="12" xfId="144" applyNumberFormat="1" applyFont="1" applyFill="1" applyBorder="1" applyAlignment="1" applyProtection="1">
      <alignment horizontal="center" vertical="center"/>
      <protection/>
    </xf>
    <xf numFmtId="0" fontId="16" fillId="24" borderId="13" xfId="144" applyNumberFormat="1" applyFont="1" applyFill="1" applyBorder="1" applyAlignment="1" applyProtection="1">
      <alignment horizontal="center" vertical="center"/>
      <protection/>
    </xf>
    <xf numFmtId="180" fontId="2" fillId="0" borderId="0" xfId="144" applyNumberFormat="1">
      <alignment/>
      <protection/>
    </xf>
    <xf numFmtId="0" fontId="2" fillId="24" borderId="0" xfId="144" applyNumberFormat="1" applyFont="1" applyFill="1" applyBorder="1" applyAlignment="1" applyProtection="1">
      <alignment/>
      <protection/>
    </xf>
    <xf numFmtId="0" fontId="17" fillId="24" borderId="0" xfId="144" applyNumberFormat="1" applyFont="1" applyFill="1" applyBorder="1" applyAlignment="1" applyProtection="1">
      <alignment vertical="center"/>
      <protection/>
    </xf>
    <xf numFmtId="0" fontId="17" fillId="24" borderId="10" xfId="144" applyNumberFormat="1" applyFont="1" applyFill="1" applyBorder="1" applyAlignment="1" applyProtection="1">
      <alignment vertical="center"/>
      <protection/>
    </xf>
    <xf numFmtId="0" fontId="6" fillId="24" borderId="14" xfId="144" applyNumberFormat="1" applyFont="1" applyFill="1" applyBorder="1" applyAlignment="1" applyProtection="1">
      <alignment horizontal="center" vertical="center" wrapText="1"/>
      <protection/>
    </xf>
    <xf numFmtId="0" fontId="1" fillId="24" borderId="24" xfId="144" applyNumberFormat="1" applyFont="1" applyFill="1" applyBorder="1" applyAlignment="1" applyProtection="1">
      <alignment horizontal="left" vertical="center"/>
      <protection/>
    </xf>
    <xf numFmtId="178" fontId="7" fillId="24" borderId="11" xfId="144" applyNumberFormat="1" applyFont="1" applyFill="1" applyBorder="1" applyAlignment="1" applyProtection="1">
      <alignment horizontal="center" vertical="center" wrapText="1"/>
      <protection/>
    </xf>
    <xf numFmtId="178" fontId="7" fillId="24" borderId="14" xfId="144" applyNumberFormat="1" applyFont="1" applyFill="1" applyBorder="1" applyAlignment="1" applyProtection="1">
      <alignment horizontal="center" vertical="center" wrapText="1"/>
      <protection/>
    </xf>
    <xf numFmtId="0" fontId="1" fillId="24" borderId="11" xfId="144" applyNumberFormat="1" applyFont="1" applyFill="1" applyBorder="1" applyAlignment="1" applyProtection="1">
      <alignment horizontal="left" vertical="center"/>
      <protection/>
    </xf>
    <xf numFmtId="0" fontId="1" fillId="24" borderId="24" xfId="144" applyNumberFormat="1" applyFont="1" applyFill="1" applyBorder="1" applyAlignment="1" applyProtection="1">
      <alignment vertical="center"/>
      <protection/>
    </xf>
    <xf numFmtId="0" fontId="2" fillId="0" borderId="0" xfId="144" applyNumberFormat="1" applyFont="1" applyFill="1" applyBorder="1" applyAlignment="1" applyProtection="1">
      <alignment/>
      <protection/>
    </xf>
    <xf numFmtId="0" fontId="3" fillId="0" borderId="0" xfId="144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shrinkToFit="1"/>
    </xf>
    <xf numFmtId="178" fontId="20" fillId="0" borderId="13" xfId="0" applyNumberFormat="1" applyFont="1" applyBorder="1" applyAlignment="1">
      <alignment horizontal="center" vertical="center" wrapText="1"/>
    </xf>
    <xf numFmtId="181" fontId="20" fillId="0" borderId="13" xfId="0" applyNumberFormat="1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shrinkToFit="1"/>
    </xf>
    <xf numFmtId="0" fontId="2" fillId="0" borderId="0" xfId="143" applyFont="1" applyAlignment="1">
      <alignment vertical="center"/>
      <protection/>
    </xf>
    <xf numFmtId="0" fontId="0" fillId="0" borderId="0" xfId="143" applyAlignment="1">
      <alignment vertical="center" shrinkToFit="1"/>
      <protection/>
    </xf>
    <xf numFmtId="0" fontId="0" fillId="0" borderId="0" xfId="143" applyAlignment="1">
      <alignment vertical="center"/>
      <protection/>
    </xf>
    <xf numFmtId="0" fontId="0" fillId="0" borderId="0" xfId="143" applyFont="1" applyAlignment="1">
      <alignment vertical="center" shrinkToFit="1"/>
      <protection/>
    </xf>
    <xf numFmtId="0" fontId="0" fillId="0" borderId="0" xfId="143" applyFont="1" applyAlignment="1">
      <alignment horizontal="right" vertical="center"/>
      <protection/>
    </xf>
    <xf numFmtId="0" fontId="0" fillId="0" borderId="25" xfId="143" applyFont="1" applyBorder="1" applyAlignment="1">
      <alignment horizontal="center" vertical="center" shrinkToFit="1"/>
      <protection/>
    </xf>
    <xf numFmtId="0" fontId="0" fillId="0" borderId="13" xfId="143" applyFont="1" applyBorder="1" applyAlignment="1">
      <alignment horizontal="center" vertical="center"/>
      <protection/>
    </xf>
    <xf numFmtId="0" fontId="0" fillId="0" borderId="13" xfId="143" applyFont="1" applyBorder="1" applyAlignment="1">
      <alignment vertical="center" shrinkToFit="1"/>
      <protection/>
    </xf>
    <xf numFmtId="178" fontId="8" fillId="0" borderId="13" xfId="143" applyNumberFormat="1" applyFont="1" applyBorder="1" applyAlignment="1">
      <alignment horizontal="center" vertical="center"/>
      <protection/>
    </xf>
    <xf numFmtId="0" fontId="0" fillId="0" borderId="13" xfId="143" applyFont="1" applyBorder="1" applyAlignment="1">
      <alignment horizontal="left" vertical="center" shrinkToFit="1"/>
      <protection/>
    </xf>
    <xf numFmtId="0" fontId="22" fillId="0" borderId="13" xfId="143" applyFont="1" applyBorder="1" applyAlignment="1">
      <alignment horizontal="center" vertical="center" shrinkToFit="1"/>
      <protection/>
    </xf>
    <xf numFmtId="0" fontId="0" fillId="0" borderId="0" xfId="143" applyFont="1" applyAlignment="1">
      <alignment vertical="center"/>
      <protection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8" fillId="0" borderId="13" xfId="0" applyFont="1" applyBorder="1" applyAlignment="1">
      <alignment vertical="center"/>
    </xf>
    <xf numFmtId="178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 shrinkToFit="1"/>
    </xf>
    <xf numFmtId="0" fontId="18" fillId="0" borderId="13" xfId="0" applyFont="1" applyBorder="1" applyAlignment="1">
      <alignment horizontal="center" vertical="center"/>
    </xf>
    <xf numFmtId="178" fontId="20" fillId="0" borderId="0" xfId="0" applyNumberFormat="1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241" applyFont="1">
      <alignment/>
      <protection/>
    </xf>
    <xf numFmtId="0" fontId="20" fillId="0" borderId="0" xfId="241" applyFont="1" applyAlignment="1">
      <alignment horizontal="center"/>
      <protection/>
    </xf>
    <xf numFmtId="0" fontId="20" fillId="0" borderId="0" xfId="241" applyFont="1" applyAlignment="1">
      <alignment horizontal="center" vertical="center"/>
      <protection/>
    </xf>
    <xf numFmtId="3" fontId="23" fillId="0" borderId="13" xfId="127" applyNumberFormat="1" applyFont="1" applyFill="1" applyBorder="1" applyAlignment="1" applyProtection="1">
      <alignment vertical="center"/>
      <protection/>
    </xf>
    <xf numFmtId="0" fontId="20" fillId="0" borderId="13" xfId="0" applyFont="1" applyBorder="1" applyAlignment="1">
      <alignment horizontal="center" vertical="center"/>
    </xf>
    <xf numFmtId="3" fontId="2" fillId="0" borderId="13" xfId="127" applyNumberFormat="1" applyFont="1" applyFill="1" applyBorder="1" applyAlignment="1" applyProtection="1">
      <alignment vertical="center"/>
      <protection/>
    </xf>
    <xf numFmtId="0" fontId="2" fillId="0" borderId="13" xfId="127" applyFont="1" applyBorder="1" applyAlignment="1">
      <alignment horizontal="left" vertical="center"/>
      <protection/>
    </xf>
    <xf numFmtId="3" fontId="23" fillId="0" borderId="13" xfId="127" applyNumberFormat="1" applyFont="1" applyFill="1" applyBorder="1" applyAlignment="1" applyProtection="1">
      <alignment horizontal="left" vertical="center"/>
      <protection/>
    </xf>
    <xf numFmtId="0" fontId="27" fillId="0" borderId="13" xfId="0" applyFont="1" applyBorder="1" applyAlignment="1">
      <alignment horizontal="center" vertical="center"/>
    </xf>
    <xf numFmtId="0" fontId="20" fillId="0" borderId="0" xfId="241" applyFont="1" applyAlignment="1">
      <alignment horizontal="right" vertical="center"/>
      <protection/>
    </xf>
    <xf numFmtId="0" fontId="20" fillId="0" borderId="13" xfId="235" applyFont="1" applyBorder="1" applyAlignment="1">
      <alignment horizontal="center" vertical="center"/>
      <protection/>
    </xf>
    <xf numFmtId="0" fontId="20" fillId="0" borderId="13" xfId="235" applyFont="1" applyBorder="1" applyAlignment="1">
      <alignment horizontal="center" vertical="center" wrapText="1"/>
      <protection/>
    </xf>
    <xf numFmtId="3" fontId="18" fillId="0" borderId="13" xfId="134" applyNumberFormat="1" applyFont="1" applyFill="1" applyBorder="1" applyAlignment="1" applyProtection="1">
      <alignment vertical="center"/>
      <protection/>
    </xf>
    <xf numFmtId="0" fontId="20" fillId="24" borderId="13" xfId="127" applyFont="1" applyFill="1" applyBorder="1" applyAlignment="1">
      <alignment horizontal="center" vertical="center"/>
      <protection/>
    </xf>
    <xf numFmtId="179" fontId="20" fillId="24" borderId="13" xfId="235" applyNumberFormat="1" applyFont="1" applyFill="1" applyBorder="1" applyAlignment="1">
      <alignment horizontal="center" vertical="center"/>
      <protection/>
    </xf>
    <xf numFmtId="0" fontId="18" fillId="0" borderId="13" xfId="134" applyFont="1" applyBorder="1" applyAlignment="1">
      <alignment vertical="center"/>
      <protection/>
    </xf>
    <xf numFmtId="3" fontId="1" fillId="0" borderId="13" xfId="134" applyNumberFormat="1" applyFont="1" applyFill="1" applyBorder="1" applyAlignment="1" applyProtection="1">
      <alignment vertical="center"/>
      <protection/>
    </xf>
    <xf numFmtId="0" fontId="24" fillId="0" borderId="13" xfId="239" applyFont="1" applyFill="1" applyBorder="1" applyAlignment="1">
      <alignment horizontal="center" vertical="center"/>
      <protection/>
    </xf>
    <xf numFmtId="0" fontId="7" fillId="24" borderId="13" xfId="134" applyFont="1" applyFill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 wrapText="1"/>
    </xf>
    <xf numFmtId="179" fontId="20" fillId="24" borderId="13" xfId="0" applyNumberFormat="1" applyFont="1" applyFill="1" applyBorder="1" applyAlignment="1">
      <alignment horizontal="center" vertical="center"/>
    </xf>
    <xf numFmtId="3" fontId="2" fillId="0" borderId="13" xfId="127" applyNumberFormat="1" applyFont="1" applyFill="1" applyBorder="1" applyAlignment="1" applyProtection="1">
      <alignment horizontal="left" vertical="center"/>
      <protection/>
    </xf>
    <xf numFmtId="0" fontId="3" fillId="0" borderId="13" xfId="127" applyFont="1" applyBorder="1" applyAlignment="1">
      <alignment horizontal="left" vertical="center"/>
      <protection/>
    </xf>
    <xf numFmtId="0" fontId="19" fillId="0" borderId="0" xfId="241" applyFont="1" applyAlignment="1">
      <alignment horizontal="centerContinuous" vertical="center"/>
      <protection/>
    </xf>
    <xf numFmtId="0" fontId="28" fillId="0" borderId="0" xfId="241" applyFont="1" applyAlignment="1">
      <alignment horizontal="centerContinuous"/>
      <protection/>
    </xf>
    <xf numFmtId="0" fontId="1" fillId="24" borderId="13" xfId="134" applyFont="1" applyFill="1" applyBorder="1" applyAlignment="1">
      <alignment horizontal="center" vertical="center"/>
      <protection/>
    </xf>
    <xf numFmtId="179" fontId="8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41" fontId="8" fillId="0" borderId="0" xfId="265" applyFont="1" applyAlignment="1">
      <alignment/>
    </xf>
    <xf numFmtId="0" fontId="2" fillId="0" borderId="13" xfId="127" applyFont="1" applyBorder="1" applyAlignment="1">
      <alignment vertical="center"/>
      <protection/>
    </xf>
    <xf numFmtId="0" fontId="20" fillId="0" borderId="0" xfId="241" applyFont="1" applyAlignment="1">
      <alignment horizontal="right"/>
      <protection/>
    </xf>
    <xf numFmtId="0" fontId="12" fillId="0" borderId="13" xfId="235" applyFont="1" applyBorder="1" applyAlignment="1">
      <alignment horizontal="left" vertical="center"/>
      <protection/>
    </xf>
    <xf numFmtId="0" fontId="18" fillId="0" borderId="13" xfId="134" applyFont="1" applyFill="1" applyBorder="1" applyAlignment="1">
      <alignment horizontal="center" vertical="center"/>
      <protection/>
    </xf>
    <xf numFmtId="179" fontId="20" fillId="0" borderId="13" xfId="0" applyNumberFormat="1" applyFont="1" applyBorder="1" applyAlignment="1">
      <alignment horizontal="center" vertical="center"/>
    </xf>
    <xf numFmtId="0" fontId="25" fillId="0" borderId="0" xfId="233" applyFont="1">
      <alignment/>
      <protection/>
    </xf>
    <xf numFmtId="0" fontId="20" fillId="0" borderId="0" xfId="233" applyFont="1">
      <alignment/>
      <protection/>
    </xf>
    <xf numFmtId="0" fontId="20" fillId="0" borderId="0" xfId="233" applyFont="1" applyFill="1">
      <alignment/>
      <protection/>
    </xf>
    <xf numFmtId="0" fontId="8" fillId="0" borderId="0" xfId="233" applyFont="1">
      <alignment/>
      <protection/>
    </xf>
    <xf numFmtId="0" fontId="26" fillId="0" borderId="0" xfId="233" applyFont="1">
      <alignment/>
      <protection/>
    </xf>
    <xf numFmtId="0" fontId="20" fillId="0" borderId="25" xfId="242" applyFont="1" applyBorder="1" applyAlignment="1">
      <alignment horizontal="center" vertical="center" wrapText="1"/>
      <protection/>
    </xf>
    <xf numFmtId="0" fontId="8" fillId="0" borderId="0" xfId="232" applyFont="1">
      <alignment/>
      <protection/>
    </xf>
    <xf numFmtId="0" fontId="20" fillId="0" borderId="13" xfId="233" applyFont="1" applyBorder="1" applyAlignment="1">
      <alignment horizontal="center" vertical="center"/>
      <protection/>
    </xf>
    <xf numFmtId="0" fontId="27" fillId="0" borderId="13" xfId="236" applyFont="1" applyFill="1" applyBorder="1" applyAlignment="1">
      <alignment horizontal="center" vertical="center"/>
      <protection/>
    </xf>
    <xf numFmtId="2" fontId="20" fillId="0" borderId="13" xfId="235" applyNumberFormat="1" applyFont="1" applyFill="1" applyBorder="1" applyAlignment="1">
      <alignment horizontal="center" vertical="center"/>
      <protection/>
    </xf>
    <xf numFmtId="0" fontId="8" fillId="0" borderId="0" xfId="233" applyFont="1" applyAlignment="1">
      <alignment horizontal="center"/>
      <protection/>
    </xf>
    <xf numFmtId="0" fontId="25" fillId="0" borderId="0" xfId="242" applyFont="1">
      <alignment/>
      <protection/>
    </xf>
    <xf numFmtId="0" fontId="8" fillId="0" borderId="0" xfId="242" applyFont="1">
      <alignment/>
      <protection/>
    </xf>
    <xf numFmtId="0" fontId="26" fillId="0" borderId="0" xfId="242" applyFont="1">
      <alignment/>
      <protection/>
    </xf>
    <xf numFmtId="0" fontId="20" fillId="0" borderId="0" xfId="242" applyFont="1">
      <alignment/>
      <protection/>
    </xf>
    <xf numFmtId="0" fontId="20" fillId="0" borderId="13" xfId="241" applyFont="1" applyBorder="1" applyAlignment="1">
      <alignment vertical="center"/>
      <protection/>
    </xf>
    <xf numFmtId="0" fontId="24" fillId="0" borderId="13" xfId="241" applyFont="1" applyBorder="1" applyAlignment="1">
      <alignment horizontal="center" vertical="center"/>
      <protection/>
    </xf>
    <xf numFmtId="0" fontId="18" fillId="0" borderId="13" xfId="241" applyFont="1" applyBorder="1" applyAlignment="1">
      <alignment vertical="center"/>
      <protection/>
    </xf>
    <xf numFmtId="1" fontId="20" fillId="0" borderId="0" xfId="233" applyNumberFormat="1" applyFont="1">
      <alignment/>
      <protection/>
    </xf>
    <xf numFmtId="0" fontId="20" fillId="0" borderId="13" xfId="241" applyFont="1" applyBorder="1">
      <alignment/>
      <protection/>
    </xf>
    <xf numFmtId="0" fontId="8" fillId="0" borderId="13" xfId="0" applyFont="1" applyBorder="1" applyAlignment="1">
      <alignment horizontal="center" vertical="center"/>
    </xf>
    <xf numFmtId="179" fontId="8" fillId="0" borderId="13" xfId="242" applyNumberFormat="1" applyFont="1" applyBorder="1" applyAlignment="1">
      <alignment horizontal="center" vertical="center"/>
      <protection/>
    </xf>
    <xf numFmtId="0" fontId="8" fillId="0" borderId="13" xfId="242" applyFont="1" applyBorder="1" applyAlignment="1">
      <alignment horizontal="center" vertical="center"/>
      <protection/>
    </xf>
    <xf numFmtId="0" fontId="24" fillId="0" borderId="13" xfId="241" applyFont="1" applyBorder="1" applyAlignment="1">
      <alignment horizontal="center"/>
      <protection/>
    </xf>
    <xf numFmtId="0" fontId="18" fillId="0" borderId="13" xfId="241" applyFont="1" applyBorder="1">
      <alignment/>
      <protection/>
    </xf>
    <xf numFmtId="0" fontId="12" fillId="0" borderId="0" xfId="0" applyFont="1" applyAlignment="1">
      <alignment vertical="center"/>
    </xf>
    <xf numFmtId="182" fontId="12" fillId="0" borderId="0" xfId="0" applyNumberFormat="1" applyFont="1" applyAlignment="1">
      <alignment vertical="center"/>
    </xf>
    <xf numFmtId="182" fontId="20" fillId="0" borderId="0" xfId="0" applyNumberFormat="1" applyFont="1" applyAlignment="1">
      <alignment horizontal="right" vertical="center"/>
    </xf>
    <xf numFmtId="0" fontId="27" fillId="0" borderId="27" xfId="233" applyFont="1" applyBorder="1" applyAlignment="1">
      <alignment horizontal="center" vertical="center"/>
      <protection/>
    </xf>
    <xf numFmtId="0" fontId="27" fillId="0" borderId="28" xfId="242" applyFont="1" applyBorder="1" applyAlignment="1">
      <alignment horizontal="center" vertical="center" wrapText="1"/>
      <protection/>
    </xf>
    <xf numFmtId="0" fontId="27" fillId="0" borderId="25" xfId="242" applyFont="1" applyBorder="1" applyAlignment="1">
      <alignment horizontal="center" vertical="center" wrapText="1"/>
      <protection/>
    </xf>
    <xf numFmtId="1" fontId="20" fillId="0" borderId="13" xfId="227" applyNumberFormat="1" applyFont="1" applyBorder="1" applyAlignment="1" applyProtection="1">
      <alignment vertical="center" wrapText="1"/>
      <protection locked="0"/>
    </xf>
    <xf numFmtId="178" fontId="20" fillId="0" borderId="13" xfId="227" applyNumberFormat="1" applyFont="1" applyFill="1" applyBorder="1" applyAlignment="1">
      <alignment horizontal="center" vertical="center" wrapText="1"/>
      <protection/>
    </xf>
    <xf numFmtId="0" fontId="18" fillId="0" borderId="13" xfId="227" applyFont="1" applyBorder="1" applyAlignment="1">
      <alignment vertical="center" wrapText="1"/>
      <protection/>
    </xf>
    <xf numFmtId="0" fontId="20" fillId="0" borderId="13" xfId="227" applyFont="1" applyBorder="1" applyAlignment="1">
      <alignment vertical="center" wrapText="1"/>
      <protection/>
    </xf>
    <xf numFmtId="178" fontId="20" fillId="0" borderId="13" xfId="227" applyNumberFormat="1" applyFont="1" applyBorder="1" applyAlignment="1">
      <alignment horizontal="center" vertical="center" wrapText="1"/>
      <protection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20" fillId="0" borderId="13" xfId="227" applyFont="1" applyBorder="1" applyAlignment="1">
      <alignment vertical="center"/>
      <protection/>
    </xf>
    <xf numFmtId="3" fontId="20" fillId="0" borderId="13" xfId="0" applyNumberFormat="1" applyFont="1" applyFill="1" applyBorder="1" applyAlignment="1" applyProtection="1">
      <alignment horizontal="left" vertical="center"/>
      <protection/>
    </xf>
    <xf numFmtId="178" fontId="20" fillId="0" borderId="13" xfId="226" applyNumberFormat="1" applyFont="1" applyFill="1" applyBorder="1" applyAlignment="1">
      <alignment horizontal="center" vertical="center" wrapText="1"/>
      <protection/>
    </xf>
    <xf numFmtId="178" fontId="20" fillId="0" borderId="0" xfId="227" applyNumberFormat="1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center" vertical="center" wrapText="1"/>
    </xf>
    <xf numFmtId="0" fontId="27" fillId="0" borderId="13" xfId="227" applyFont="1" applyBorder="1" applyAlignment="1">
      <alignment horizontal="center" vertical="center" wrapText="1"/>
      <protection/>
    </xf>
    <xf numFmtId="178" fontId="8" fillId="0" borderId="0" xfId="0" applyNumberFormat="1" applyFont="1" applyAlignment="1">
      <alignment/>
    </xf>
    <xf numFmtId="0" fontId="29" fillId="0" borderId="0" xfId="52" applyFont="1">
      <alignment/>
      <protection/>
    </xf>
    <xf numFmtId="0" fontId="0" fillId="0" borderId="0" xfId="52">
      <alignment/>
      <protection/>
    </xf>
    <xf numFmtId="0" fontId="30" fillId="0" borderId="0" xfId="52" applyFont="1" applyFill="1" applyAlignment="1">
      <alignment vertical="center"/>
      <protection/>
    </xf>
    <xf numFmtId="0" fontId="0" fillId="0" borderId="0" xfId="52" applyFill="1" applyAlignment="1">
      <alignment horizontal="right" vertical="center"/>
      <protection/>
    </xf>
    <xf numFmtId="0" fontId="29" fillId="0" borderId="13" xfId="52" applyNumberFormat="1" applyFont="1" applyFill="1" applyBorder="1" applyAlignment="1">
      <alignment horizontal="center" vertical="center" wrapText="1"/>
      <protection/>
    </xf>
    <xf numFmtId="0" fontId="29" fillId="0" borderId="13" xfId="228" applyFont="1" applyFill="1" applyBorder="1" applyAlignment="1">
      <alignment horizontal="center" vertical="center" wrapText="1"/>
      <protection/>
    </xf>
    <xf numFmtId="0" fontId="31" fillId="0" borderId="13" xfId="145" applyFont="1" applyFill="1" applyBorder="1" applyAlignment="1">
      <alignment vertical="center"/>
      <protection/>
    </xf>
    <xf numFmtId="1" fontId="32" fillId="24" borderId="13" xfId="181" applyNumberFormat="1" applyFont="1" applyFill="1" applyBorder="1" applyAlignment="1">
      <alignment horizontal="center" vertical="center"/>
      <protection/>
    </xf>
    <xf numFmtId="1" fontId="29" fillId="24" borderId="13" xfId="52" applyNumberFormat="1" applyFont="1" applyFill="1" applyBorder="1" applyAlignment="1">
      <alignment horizontal="center" vertical="center"/>
      <protection/>
    </xf>
    <xf numFmtId="178" fontId="31" fillId="0" borderId="13" xfId="145" applyNumberFormat="1" applyFont="1" applyFill="1" applyBorder="1" applyAlignment="1" applyProtection="1">
      <alignment horizontal="left" vertical="center"/>
      <protection locked="0"/>
    </xf>
    <xf numFmtId="0" fontId="32" fillId="24" borderId="13" xfId="181" applyFont="1" applyFill="1" applyBorder="1" applyAlignment="1">
      <alignment horizontal="center" vertical="center"/>
      <protection/>
    </xf>
    <xf numFmtId="0" fontId="29" fillId="24" borderId="13" xfId="52" applyFont="1" applyFill="1" applyBorder="1" applyAlignment="1">
      <alignment horizontal="center" vertical="center"/>
      <protection/>
    </xf>
    <xf numFmtId="178" fontId="29" fillId="0" borderId="13" xfId="145" applyNumberFormat="1" applyFont="1" applyFill="1" applyBorder="1" applyAlignment="1" applyProtection="1">
      <alignment horizontal="left" vertical="center"/>
      <protection locked="0"/>
    </xf>
    <xf numFmtId="183" fontId="29" fillId="0" borderId="13" xfId="145" applyNumberFormat="1" applyFont="1" applyFill="1" applyBorder="1" applyAlignment="1" applyProtection="1">
      <alignment horizontal="left" vertical="center"/>
      <protection locked="0"/>
    </xf>
    <xf numFmtId="0" fontId="29" fillId="0" borderId="13" xfId="145" applyFont="1" applyFill="1" applyBorder="1" applyAlignment="1">
      <alignment vertical="center"/>
      <protection/>
    </xf>
    <xf numFmtId="183" fontId="31" fillId="0" borderId="13" xfId="145" applyNumberFormat="1" applyFont="1" applyFill="1" applyBorder="1" applyAlignment="1" applyProtection="1">
      <alignment horizontal="left" vertical="center"/>
      <protection locked="0"/>
    </xf>
    <xf numFmtId="0" fontId="29" fillId="0" borderId="13" xfId="145" applyFont="1" applyBorder="1" applyAlignment="1">
      <alignment vertical="center"/>
      <protection/>
    </xf>
    <xf numFmtId="0" fontId="33" fillId="24" borderId="13" xfId="181" applyFont="1" applyFill="1" applyBorder="1" applyAlignment="1">
      <alignment horizontal="center" vertical="center"/>
      <protection/>
    </xf>
    <xf numFmtId="0" fontId="31" fillId="24" borderId="13" xfId="52" applyFont="1" applyFill="1" applyBorder="1" applyAlignment="1">
      <alignment horizontal="center" vertical="center"/>
      <protection/>
    </xf>
    <xf numFmtId="1" fontId="32" fillId="24" borderId="13" xfId="181" applyNumberFormat="1" applyFont="1" applyFill="1" applyBorder="1" applyAlignment="1" applyProtection="1">
      <alignment horizontal="center" vertical="center"/>
      <protection locked="0"/>
    </xf>
    <xf numFmtId="1" fontId="29" fillId="24" borderId="13" xfId="52" applyNumberFormat="1" applyFont="1" applyFill="1" applyBorder="1" applyAlignment="1" applyProtection="1">
      <alignment horizontal="center" vertical="center"/>
      <protection locked="0"/>
    </xf>
    <xf numFmtId="0" fontId="32" fillId="24" borderId="13" xfId="181" applyNumberFormat="1" applyFont="1" applyFill="1" applyBorder="1" applyAlignment="1" applyProtection="1">
      <alignment horizontal="center" vertical="center"/>
      <protection locked="0"/>
    </xf>
    <xf numFmtId="0" fontId="29" fillId="24" borderId="13" xfId="52" applyNumberFormat="1" applyFont="1" applyFill="1" applyBorder="1" applyAlignment="1" applyProtection="1">
      <alignment horizontal="center" vertical="center"/>
      <protection locked="0"/>
    </xf>
    <xf numFmtId="183" fontId="31" fillId="24" borderId="13" xfId="145" applyNumberFormat="1" applyFont="1" applyFill="1" applyBorder="1" applyAlignment="1" applyProtection="1">
      <alignment horizontal="left" vertical="center"/>
      <protection locked="0"/>
    </xf>
    <xf numFmtId="0" fontId="31" fillId="0" borderId="13" xfId="145" applyFont="1" applyBorder="1" applyAlignment="1">
      <alignment vertical="center"/>
      <protection/>
    </xf>
    <xf numFmtId="0" fontId="29" fillId="24" borderId="13" xfId="145" applyFont="1" applyFill="1" applyBorder="1" applyAlignment="1">
      <alignment horizontal="center" vertical="center"/>
      <protection/>
    </xf>
    <xf numFmtId="0" fontId="31" fillId="0" borderId="13" xfId="145" applyFont="1" applyFill="1" applyBorder="1" applyAlignment="1">
      <alignment horizontal="center" vertical="center"/>
      <protection/>
    </xf>
    <xf numFmtId="1" fontId="29" fillId="24" borderId="13" xfId="145" applyNumberFormat="1" applyFont="1" applyFill="1" applyBorder="1" applyAlignment="1">
      <alignment horizontal="center" vertical="center"/>
      <protection/>
    </xf>
    <xf numFmtId="0" fontId="29" fillId="0" borderId="13" xfId="52" applyFont="1" applyFill="1" applyBorder="1" applyAlignment="1">
      <alignment vertical="center" wrapText="1"/>
      <protection/>
    </xf>
    <xf numFmtId="1" fontId="29" fillId="0" borderId="13" xfId="145" applyNumberFormat="1" applyFont="1" applyFill="1" applyBorder="1" applyAlignment="1" applyProtection="1">
      <alignment horizontal="left" vertical="center"/>
      <protection locked="0"/>
    </xf>
    <xf numFmtId="3" fontId="29" fillId="0" borderId="13" xfId="145" applyNumberFormat="1" applyFont="1" applyFill="1" applyBorder="1" applyAlignment="1" applyProtection="1">
      <alignment vertical="center"/>
      <protection/>
    </xf>
    <xf numFmtId="0" fontId="29" fillId="0" borderId="13" xfId="52" applyFont="1" applyBorder="1">
      <alignment/>
      <protection/>
    </xf>
    <xf numFmtId="0" fontId="31" fillId="0" borderId="13" xfId="52" applyFont="1" applyBorder="1" applyAlignment="1">
      <alignment horizontal="center" vertical="center"/>
      <protection/>
    </xf>
    <xf numFmtId="0" fontId="8" fillId="0" borderId="0" xfId="233" applyFont="1" applyFill="1">
      <alignment/>
      <protection/>
    </xf>
    <xf numFmtId="0" fontId="19" fillId="0" borderId="0" xfId="242" applyFont="1" applyAlignment="1">
      <alignment horizontal="centerContinuous" vertical="center"/>
      <protection/>
    </xf>
    <xf numFmtId="0" fontId="28" fillId="0" borderId="0" xfId="241" applyFont="1" applyFill="1" applyAlignment="1">
      <alignment horizontal="centerContinuous"/>
      <protection/>
    </xf>
    <xf numFmtId="0" fontId="20" fillId="0" borderId="0" xfId="233" applyFont="1" applyFill="1" applyAlignment="1">
      <alignment horizontal="right"/>
      <protection/>
    </xf>
    <xf numFmtId="0" fontId="20" fillId="0" borderId="13" xfId="235" applyFont="1" applyBorder="1" applyAlignment="1">
      <alignment vertical="center"/>
      <protection/>
    </xf>
    <xf numFmtId="0" fontId="20" fillId="0" borderId="13" xfId="234" applyFont="1" applyBorder="1" applyAlignment="1">
      <alignment vertical="center"/>
      <protection/>
    </xf>
    <xf numFmtId="0" fontId="8" fillId="0" borderId="13" xfId="233" applyFont="1" applyBorder="1" applyAlignment="1">
      <alignment horizontal="center" vertical="center"/>
      <protection/>
    </xf>
    <xf numFmtId="0" fontId="27" fillId="0" borderId="13" xfId="234" applyFont="1" applyBorder="1" applyAlignment="1">
      <alignment horizontal="center" vertical="center"/>
      <protection/>
    </xf>
    <xf numFmtId="1" fontId="20" fillId="0" borderId="13" xfId="233" applyNumberFormat="1" applyFont="1" applyBorder="1" applyAlignment="1">
      <alignment horizontal="center" vertical="center"/>
      <protection/>
    </xf>
    <xf numFmtId="0" fontId="20" fillId="0" borderId="13" xfId="234" applyFont="1" applyBorder="1">
      <alignment/>
      <protection/>
    </xf>
    <xf numFmtId="1" fontId="20" fillId="0" borderId="13" xfId="233" applyNumberFormat="1" applyFont="1" applyFill="1" applyBorder="1" applyAlignment="1">
      <alignment horizontal="center" vertical="center"/>
      <protection/>
    </xf>
    <xf numFmtId="0" fontId="27" fillId="0" borderId="13" xfId="236" applyFont="1" applyBorder="1" applyAlignment="1">
      <alignment horizontal="center"/>
      <protection/>
    </xf>
    <xf numFmtId="1" fontId="8" fillId="0" borderId="0" xfId="233" applyNumberFormat="1" applyFont="1">
      <alignment/>
      <protection/>
    </xf>
    <xf numFmtId="1" fontId="8" fillId="0" borderId="0" xfId="233" applyNumberFormat="1" applyFont="1" applyFill="1">
      <alignment/>
      <protection/>
    </xf>
    <xf numFmtId="10" fontId="8" fillId="0" borderId="0" xfId="242" applyNumberFormat="1" applyFont="1" applyAlignment="1">
      <alignment horizontal="left"/>
      <protection/>
    </xf>
    <xf numFmtId="0" fontId="7" fillId="24" borderId="11" xfId="0" applyNumberFormat="1" applyFont="1" applyFill="1" applyBorder="1" applyAlignment="1" applyProtection="1">
      <alignment horizontal="center" vertical="center"/>
      <protection/>
    </xf>
    <xf numFmtId="0" fontId="11" fillId="24" borderId="16" xfId="0" applyNumberFormat="1" applyFont="1" applyFill="1" applyBorder="1" applyAlignment="1" applyProtection="1">
      <alignment horizontal="center" vertical="center"/>
      <protection/>
    </xf>
    <xf numFmtId="0" fontId="7" fillId="24" borderId="16" xfId="0" applyNumberFormat="1" applyFont="1" applyFill="1" applyBorder="1" applyAlignment="1" applyProtection="1">
      <alignment horizontal="center" vertical="center"/>
      <protection/>
    </xf>
    <xf numFmtId="10" fontId="7" fillId="24" borderId="16" xfId="0" applyNumberFormat="1" applyFont="1" applyFill="1" applyBorder="1" applyAlignment="1" applyProtection="1">
      <alignment horizontal="center" vertical="center"/>
      <protection/>
    </xf>
    <xf numFmtId="0" fontId="20" fillId="0" borderId="20" xfId="0" applyFont="1" applyBorder="1" applyAlignment="1">
      <alignment horizontal="center" vertical="center"/>
    </xf>
    <xf numFmtId="0" fontId="25" fillId="0" borderId="0" xfId="232" applyFont="1" applyBorder="1">
      <alignment/>
      <protection/>
    </xf>
    <xf numFmtId="0" fontId="20" fillId="0" borderId="0" xfId="232" applyFont="1" applyBorder="1">
      <alignment/>
      <protection/>
    </xf>
    <xf numFmtId="0" fontId="8" fillId="0" borderId="0" xfId="232" applyFont="1" applyBorder="1">
      <alignment/>
      <protection/>
    </xf>
    <xf numFmtId="0" fontId="8" fillId="24" borderId="0" xfId="232" applyFont="1" applyFill="1" applyBorder="1">
      <alignment/>
      <protection/>
    </xf>
    <xf numFmtId="0" fontId="26" fillId="0" borderId="0" xfId="232" applyFont="1" applyFill="1" applyBorder="1">
      <alignment/>
      <protection/>
    </xf>
    <xf numFmtId="0" fontId="25" fillId="0" borderId="0" xfId="232" applyFont="1" applyFill="1" applyBorder="1">
      <alignment/>
      <protection/>
    </xf>
    <xf numFmtId="0" fontId="20" fillId="0" borderId="0" xfId="232" applyFont="1" applyFill="1" applyBorder="1">
      <alignment/>
      <protection/>
    </xf>
    <xf numFmtId="0" fontId="0" fillId="0" borderId="0" xfId="242" applyFont="1" applyFill="1" applyBorder="1" applyAlignment="1">
      <alignment horizontal="right"/>
      <protection/>
    </xf>
    <xf numFmtId="0" fontId="8" fillId="0" borderId="0" xfId="232" applyFont="1" applyFill="1" applyBorder="1">
      <alignment/>
      <protection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242" applyFont="1" applyFill="1" applyBorder="1" applyAlignment="1">
      <alignment horizontal="center" vertical="center" wrapText="1"/>
      <protection/>
    </xf>
    <xf numFmtId="0" fontId="8" fillId="0" borderId="0" xfId="233" applyFont="1" applyFill="1" applyBorder="1">
      <alignment/>
      <protection/>
    </xf>
    <xf numFmtId="0" fontId="20" fillId="0" borderId="13" xfId="235" applyFont="1" applyFill="1" applyBorder="1" applyAlignment="1">
      <alignment vertical="center"/>
      <protection/>
    </xf>
    <xf numFmtId="0" fontId="8" fillId="0" borderId="13" xfId="232" applyFont="1" applyFill="1" applyBorder="1" applyAlignment="1">
      <alignment horizontal="center" vertical="center"/>
      <protection/>
    </xf>
    <xf numFmtId="0" fontId="20" fillId="0" borderId="13" xfId="232" applyFont="1" applyFill="1" applyBorder="1" applyAlignment="1">
      <alignment horizontal="center" vertical="center"/>
      <protection/>
    </xf>
    <xf numFmtId="179" fontId="8" fillId="0" borderId="13" xfId="242" applyNumberFormat="1" applyFont="1" applyFill="1" applyBorder="1" applyAlignment="1">
      <alignment horizontal="center" vertical="center"/>
      <protection/>
    </xf>
    <xf numFmtId="0" fontId="20" fillId="0" borderId="0" xfId="232" applyFont="1" applyFill="1" applyBorder="1" applyAlignment="1">
      <alignment horizontal="center" vertical="center"/>
      <protection/>
    </xf>
    <xf numFmtId="0" fontId="20" fillId="0" borderId="0" xfId="233" applyFont="1" applyFill="1" applyBorder="1">
      <alignment/>
      <protection/>
    </xf>
    <xf numFmtId="0" fontId="20" fillId="0" borderId="13" xfId="234" applyFont="1" applyFill="1" applyBorder="1" applyAlignment="1">
      <alignment vertical="center"/>
      <protection/>
    </xf>
    <xf numFmtId="1" fontId="20" fillId="0" borderId="0" xfId="232" applyNumberFormat="1" applyFont="1" applyFill="1" applyBorder="1" applyAlignment="1">
      <alignment horizontal="center" vertical="center"/>
      <protection/>
    </xf>
    <xf numFmtId="184" fontId="8" fillId="0" borderId="13" xfId="232" applyNumberFormat="1" applyFont="1" applyFill="1" applyBorder="1" applyAlignment="1">
      <alignment horizontal="center" vertical="center"/>
      <protection/>
    </xf>
    <xf numFmtId="0" fontId="8" fillId="0" borderId="0" xfId="232" applyFont="1" applyBorder="1" applyAlignment="1">
      <alignment horizontal="center"/>
      <protection/>
    </xf>
    <xf numFmtId="0" fontId="0" fillId="0" borderId="0" xfId="242" applyFont="1" applyAlignment="1">
      <alignment horizontal="right"/>
      <protection/>
    </xf>
    <xf numFmtId="0" fontId="8" fillId="0" borderId="13" xfId="242" applyFont="1" applyBorder="1" applyAlignment="1">
      <alignment horizontal="center" vertical="center" wrapText="1"/>
      <protection/>
    </xf>
    <xf numFmtId="0" fontId="12" fillId="0" borderId="13" xfId="242" applyFont="1" applyBorder="1" applyAlignment="1">
      <alignment horizontal="center" vertical="center" wrapText="1"/>
      <protection/>
    </xf>
    <xf numFmtId="0" fontId="8" fillId="24" borderId="13" xfId="242" applyFont="1" applyFill="1" applyBorder="1" applyAlignment="1">
      <alignment horizontal="center" vertical="center"/>
      <protection/>
    </xf>
    <xf numFmtId="183" fontId="8" fillId="0" borderId="13" xfId="242" applyNumberFormat="1" applyFont="1" applyBorder="1" applyAlignment="1">
      <alignment horizontal="center" vertical="center"/>
      <protection/>
    </xf>
    <xf numFmtId="0" fontId="25" fillId="0" borderId="0" xfId="231" applyFont="1">
      <alignment/>
      <protection/>
    </xf>
    <xf numFmtId="0" fontId="34" fillId="0" borderId="0" xfId="231" applyFont="1">
      <alignment/>
      <protection/>
    </xf>
    <xf numFmtId="0" fontId="12" fillId="0" borderId="0" xfId="231" applyFont="1">
      <alignment/>
      <protection/>
    </xf>
    <xf numFmtId="0" fontId="7" fillId="24" borderId="10" xfId="231" applyNumberFormat="1" applyFont="1" applyFill="1" applyBorder="1" applyAlignment="1" applyProtection="1">
      <alignment vertical="center"/>
      <protection/>
    </xf>
    <xf numFmtId="0" fontId="7" fillId="24" borderId="10" xfId="231" applyNumberFormat="1" applyFont="1" applyFill="1" applyBorder="1" applyAlignment="1" applyProtection="1">
      <alignment horizontal="right" vertical="center"/>
      <protection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0" fontId="7" fillId="24" borderId="11" xfId="0" applyNumberFormat="1" applyFont="1" applyFill="1" applyBorder="1" applyAlignment="1" applyProtection="1">
      <alignment vertical="center"/>
      <protection/>
    </xf>
    <xf numFmtId="178" fontId="35" fillId="0" borderId="11" xfId="0" applyNumberFormat="1" applyFont="1" applyFill="1" applyBorder="1" applyAlignment="1" applyProtection="1">
      <alignment horizontal="center" vertical="center"/>
      <protection/>
    </xf>
    <xf numFmtId="179" fontId="35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178" fontId="35" fillId="0" borderId="12" xfId="0" applyNumberFormat="1" applyFont="1" applyFill="1" applyBorder="1" applyAlignment="1" applyProtection="1">
      <alignment horizontal="center" vertical="center"/>
      <protection/>
    </xf>
    <xf numFmtId="179" fontId="35" fillId="0" borderId="13" xfId="0" applyNumberFormat="1" applyFont="1" applyFill="1" applyBorder="1" applyAlignment="1" applyProtection="1">
      <alignment horizontal="center" vertical="center"/>
      <protection/>
    </xf>
    <xf numFmtId="179" fontId="8" fillId="0" borderId="13" xfId="231" applyNumberFormat="1" applyFont="1" applyBorder="1" applyAlignment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0" fontId="7" fillId="0" borderId="29" xfId="0" applyNumberFormat="1" applyFont="1" applyFill="1" applyBorder="1" applyAlignment="1" applyProtection="1">
      <alignment vertical="center"/>
      <protection/>
    </xf>
    <xf numFmtId="178" fontId="35" fillId="0" borderId="14" xfId="0" applyNumberFormat="1" applyFont="1" applyFill="1" applyBorder="1" applyAlignment="1" applyProtection="1">
      <alignment horizontal="center" vertical="center"/>
      <protection/>
    </xf>
    <xf numFmtId="178" fontId="35" fillId="0" borderId="15" xfId="0" applyNumberFormat="1" applyFont="1" applyFill="1" applyBorder="1" applyAlignment="1" applyProtection="1">
      <alignment horizontal="center" vertical="center"/>
      <protection/>
    </xf>
    <xf numFmtId="179" fontId="35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3" xfId="231" applyFont="1" applyBorder="1">
      <alignment/>
      <protection/>
    </xf>
    <xf numFmtId="0" fontId="7" fillId="0" borderId="30" xfId="0" applyNumberFormat="1" applyFont="1" applyFill="1" applyBorder="1" applyAlignment="1" applyProtection="1">
      <alignment vertical="center"/>
      <protection/>
    </xf>
    <xf numFmtId="0" fontId="36" fillId="24" borderId="11" xfId="0" applyNumberFormat="1" applyFont="1" applyFill="1" applyBorder="1" applyAlignment="1" applyProtection="1">
      <alignment horizontal="center" vertical="center"/>
      <protection/>
    </xf>
    <xf numFmtId="0" fontId="36" fillId="0" borderId="14" xfId="0" applyNumberFormat="1" applyFont="1" applyFill="1" applyBorder="1" applyAlignment="1" applyProtection="1">
      <alignment horizontal="center" vertical="center"/>
      <protection/>
    </xf>
    <xf numFmtId="0" fontId="35" fillId="24" borderId="0" xfId="231" applyNumberFormat="1" applyFont="1" applyFill="1" applyBorder="1" applyAlignment="1" applyProtection="1">
      <alignment vertical="center"/>
      <protection/>
    </xf>
    <xf numFmtId="0" fontId="35" fillId="24" borderId="0" xfId="231" applyNumberFormat="1" applyFont="1" applyFill="1" applyBorder="1" applyAlignment="1" applyProtection="1">
      <alignment horizontal="right" vertical="center"/>
      <protection/>
    </xf>
    <xf numFmtId="0" fontId="7" fillId="24" borderId="13" xfId="0" applyNumberFormat="1" applyFont="1" applyFill="1" applyBorder="1" applyAlignment="1" applyProtection="1">
      <alignment horizontal="center" vertical="center"/>
      <protection/>
    </xf>
    <xf numFmtId="0" fontId="7" fillId="24" borderId="13" xfId="0" applyNumberFormat="1" applyFont="1" applyFill="1" applyBorder="1" applyAlignment="1" applyProtection="1">
      <alignment vertical="center"/>
      <protection/>
    </xf>
    <xf numFmtId="178" fontId="35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36" fillId="24" borderId="13" xfId="0" applyNumberFormat="1" applyFont="1" applyFill="1" applyBorder="1" applyAlignment="1" applyProtection="1">
      <alignment horizontal="center" vertical="center"/>
      <protection/>
    </xf>
    <xf numFmtId="0" fontId="36" fillId="0" borderId="13" xfId="0" applyNumberFormat="1" applyFont="1" applyFill="1" applyBorder="1" applyAlignment="1" applyProtection="1">
      <alignment horizontal="center" vertical="center"/>
      <protection/>
    </xf>
    <xf numFmtId="0" fontId="7" fillId="24" borderId="0" xfId="231" applyNumberFormat="1" applyFont="1" applyFill="1" applyBorder="1" applyAlignment="1" applyProtection="1">
      <alignment vertical="center"/>
      <protection/>
    </xf>
    <xf numFmtId="0" fontId="7" fillId="24" borderId="0" xfId="231" applyNumberFormat="1" applyFont="1" applyFill="1" applyBorder="1" applyAlignment="1" applyProtection="1">
      <alignment horizontal="right"/>
      <protection/>
    </xf>
    <xf numFmtId="0" fontId="20" fillId="0" borderId="0" xfId="231" applyFont="1">
      <alignment/>
      <protection/>
    </xf>
    <xf numFmtId="0" fontId="7" fillId="24" borderId="0" xfId="231" applyNumberFormat="1" applyFont="1" applyFill="1" applyBorder="1" applyAlignment="1" applyProtection="1">
      <alignment horizontal="right" vertical="center"/>
      <protection/>
    </xf>
    <xf numFmtId="0" fontId="7" fillId="24" borderId="13" xfId="231" applyNumberFormat="1" applyFont="1" applyFill="1" applyBorder="1" applyAlignment="1" applyProtection="1">
      <alignment horizontal="center" vertical="center"/>
      <protection/>
    </xf>
    <xf numFmtId="0" fontId="7" fillId="24" borderId="13" xfId="0" applyNumberFormat="1" applyFont="1" applyFill="1" applyBorder="1" applyAlignment="1" applyProtection="1">
      <alignment horizontal="center" vertical="center" wrapText="1"/>
      <protection/>
    </xf>
    <xf numFmtId="0" fontId="7" fillId="24" borderId="19" xfId="231" applyNumberFormat="1" applyFont="1" applyFill="1" applyBorder="1" applyAlignment="1" applyProtection="1">
      <alignment vertical="center" wrapText="1"/>
      <protection/>
    </xf>
    <xf numFmtId="178" fontId="35" fillId="0" borderId="27" xfId="0" applyNumberFormat="1" applyFont="1" applyFill="1" applyBorder="1" applyAlignment="1" applyProtection="1">
      <alignment horizontal="center" vertical="center"/>
      <protection/>
    </xf>
    <xf numFmtId="178" fontId="8" fillId="0" borderId="27" xfId="0" applyNumberFormat="1" applyFont="1" applyBorder="1" applyAlignment="1">
      <alignment horizontal="center" vertical="center"/>
    </xf>
    <xf numFmtId="179" fontId="35" fillId="0" borderId="27" xfId="231" applyNumberFormat="1" applyFont="1" applyFill="1" applyBorder="1" applyAlignment="1" applyProtection="1">
      <alignment horizontal="center" vertical="center"/>
      <protection/>
    </xf>
    <xf numFmtId="0" fontId="7" fillId="24" borderId="10" xfId="231" applyNumberFormat="1" applyFont="1" applyFill="1" applyBorder="1" applyAlignment="1" applyProtection="1">
      <alignment vertical="center" wrapText="1"/>
      <protection/>
    </xf>
    <xf numFmtId="178" fontId="35" fillId="0" borderId="27" xfId="231" applyNumberFormat="1" applyFont="1" applyFill="1" applyBorder="1" applyAlignment="1" applyProtection="1">
      <alignment horizontal="center" vertical="center"/>
      <protection/>
    </xf>
    <xf numFmtId="0" fontId="7" fillId="24" borderId="12" xfId="231" applyNumberFormat="1" applyFont="1" applyFill="1" applyBorder="1" applyAlignment="1" applyProtection="1">
      <alignment vertical="center"/>
      <protection/>
    </xf>
    <xf numFmtId="178" fontId="8" fillId="0" borderId="13" xfId="0" applyNumberFormat="1" applyFont="1" applyBorder="1" applyAlignment="1">
      <alignment horizontal="center" vertical="center"/>
    </xf>
    <xf numFmtId="179" fontId="35" fillId="0" borderId="13" xfId="231" applyNumberFormat="1" applyFont="1" applyFill="1" applyBorder="1" applyAlignment="1" applyProtection="1">
      <alignment horizontal="center" vertical="center"/>
      <protection/>
    </xf>
    <xf numFmtId="0" fontId="7" fillId="24" borderId="15" xfId="231" applyNumberFormat="1" applyFont="1" applyFill="1" applyBorder="1" applyAlignment="1" applyProtection="1">
      <alignment vertical="center"/>
      <protection/>
    </xf>
    <xf numFmtId="178" fontId="35" fillId="0" borderId="13" xfId="231" applyNumberFormat="1" applyFont="1" applyFill="1" applyBorder="1" applyAlignment="1" applyProtection="1">
      <alignment horizontal="center" vertical="center"/>
      <protection/>
    </xf>
    <xf numFmtId="0" fontId="7" fillId="24" borderId="18" xfId="231" applyNumberFormat="1" applyFont="1" applyFill="1" applyBorder="1" applyAlignment="1" applyProtection="1">
      <alignment vertical="center"/>
      <protection/>
    </xf>
    <xf numFmtId="0" fontId="7" fillId="24" borderId="31" xfId="231" applyNumberFormat="1" applyFont="1" applyFill="1" applyBorder="1" applyAlignment="1" applyProtection="1">
      <alignment vertical="center"/>
      <protection/>
    </xf>
    <xf numFmtId="178" fontId="35" fillId="0" borderId="25" xfId="231" applyNumberFormat="1" applyFont="1" applyFill="1" applyBorder="1" applyAlignment="1" applyProtection="1">
      <alignment horizontal="center" vertical="center"/>
      <protection/>
    </xf>
    <xf numFmtId="0" fontId="7" fillId="24" borderId="13" xfId="231" applyNumberFormat="1" applyFont="1" applyFill="1" applyBorder="1" applyAlignment="1" applyProtection="1">
      <alignment vertical="center"/>
      <protection/>
    </xf>
    <xf numFmtId="0" fontId="12" fillId="0" borderId="21" xfId="231" applyFont="1" applyBorder="1">
      <alignment/>
      <protection/>
    </xf>
    <xf numFmtId="0" fontId="8" fillId="0" borderId="13" xfId="231" applyFont="1" applyBorder="1" applyAlignment="1">
      <alignment horizontal="center"/>
      <protection/>
    </xf>
    <xf numFmtId="0" fontId="7" fillId="24" borderId="19" xfId="231" applyNumberFormat="1" applyFont="1" applyFill="1" applyBorder="1" applyAlignment="1" applyProtection="1">
      <alignment vertical="center"/>
      <protection/>
    </xf>
    <xf numFmtId="0" fontId="36" fillId="24" borderId="14" xfId="0" applyNumberFormat="1" applyFont="1" applyFill="1" applyBorder="1" applyAlignment="1" applyProtection="1">
      <alignment horizontal="center" vertical="center"/>
      <protection/>
    </xf>
    <xf numFmtId="0" fontId="12" fillId="0" borderId="0" xfId="231" applyFont="1" applyFill="1">
      <alignment/>
      <protection/>
    </xf>
    <xf numFmtId="0" fontId="35" fillId="0" borderId="0" xfId="231" applyNumberFormat="1" applyFont="1" applyFill="1" applyBorder="1" applyAlignment="1" applyProtection="1">
      <alignment/>
      <protection/>
    </xf>
    <xf numFmtId="0" fontId="35" fillId="0" borderId="0" xfId="231" applyNumberFormat="1" applyFont="1" applyFill="1" applyBorder="1" applyAlignment="1" applyProtection="1">
      <alignment vertical="center"/>
      <protection/>
    </xf>
    <xf numFmtId="0" fontId="35" fillId="0" borderId="0" xfId="231" applyNumberFormat="1" applyFont="1" applyFill="1" applyBorder="1" applyAlignment="1" applyProtection="1">
      <alignment horizontal="right" vertical="center"/>
      <protection/>
    </xf>
    <xf numFmtId="180" fontId="35" fillId="0" borderId="11" xfId="0" applyNumberFormat="1" applyFont="1" applyFill="1" applyBorder="1" applyAlignment="1" applyProtection="1">
      <alignment horizontal="center" vertical="center"/>
      <protection/>
    </xf>
    <xf numFmtId="180" fontId="35" fillId="0" borderId="12" xfId="0" applyNumberFormat="1" applyFont="1" applyFill="1" applyBorder="1" applyAlignment="1" applyProtection="1">
      <alignment horizontal="center" vertical="center"/>
      <protection/>
    </xf>
    <xf numFmtId="180" fontId="35" fillId="0" borderId="16" xfId="0" applyNumberFormat="1" applyFont="1" applyFill="1" applyBorder="1" applyAlignment="1" applyProtection="1">
      <alignment horizontal="center" vertical="center"/>
      <protection/>
    </xf>
    <xf numFmtId="179" fontId="35" fillId="0" borderId="29" xfId="0" applyNumberFormat="1" applyFont="1" applyFill="1" applyBorder="1" applyAlignment="1" applyProtection="1">
      <alignment horizontal="center" vertical="center"/>
      <protection/>
    </xf>
    <xf numFmtId="180" fontId="35" fillId="0" borderId="18" xfId="0" applyNumberFormat="1" applyFont="1" applyFill="1" applyBorder="1" applyAlignment="1" applyProtection="1">
      <alignment horizontal="center" vertical="center"/>
      <protection/>
    </xf>
    <xf numFmtId="179" fontId="8" fillId="0" borderId="25" xfId="231" applyNumberFormat="1" applyFont="1" applyBorder="1" applyAlignment="1">
      <alignment horizontal="center" vertical="center"/>
      <protection/>
    </xf>
    <xf numFmtId="0" fontId="7" fillId="24" borderId="32" xfId="0" applyNumberFormat="1" applyFont="1" applyFill="1" applyBorder="1" applyAlignment="1" applyProtection="1">
      <alignment horizontal="center" vertical="center"/>
      <protection/>
    </xf>
    <xf numFmtId="180" fontId="35" fillId="0" borderId="13" xfId="0" applyNumberFormat="1" applyFont="1" applyFill="1" applyBorder="1" applyAlignment="1" applyProtection="1">
      <alignment horizontal="center" vertical="center"/>
      <protection/>
    </xf>
    <xf numFmtId="0" fontId="7" fillId="24" borderId="33" xfId="0" applyNumberFormat="1" applyFont="1" applyFill="1" applyBorder="1" applyAlignment="1" applyProtection="1">
      <alignment horizontal="center" vertical="center"/>
      <protection/>
    </xf>
    <xf numFmtId="0" fontId="7" fillId="24" borderId="12" xfId="0" applyNumberFormat="1" applyFont="1" applyFill="1" applyBorder="1" applyAlignment="1" applyProtection="1">
      <alignment horizontal="center" vertical="center"/>
      <protection/>
    </xf>
    <xf numFmtId="0" fontId="7" fillId="24" borderId="12" xfId="0" applyNumberFormat="1" applyFont="1" applyFill="1" applyBorder="1" applyAlignment="1" applyProtection="1">
      <alignment vertical="center"/>
      <protection/>
    </xf>
    <xf numFmtId="180" fontId="35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vertical="center"/>
      <protection/>
    </xf>
    <xf numFmtId="180" fontId="35" fillId="0" borderId="10" xfId="0" applyNumberFormat="1" applyFont="1" applyFill="1" applyBorder="1" applyAlignment="1" applyProtection="1">
      <alignment horizontal="center" vertical="center"/>
      <protection/>
    </xf>
    <xf numFmtId="18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1" xfId="0" applyNumberFormat="1" applyFont="1" applyFill="1" applyBorder="1" applyAlignment="1" applyProtection="1">
      <alignment horizontal="center" vertical="center"/>
      <protection/>
    </xf>
    <xf numFmtId="0" fontId="7" fillId="24" borderId="26" xfId="231" applyNumberFormat="1" applyFont="1" applyFill="1" applyBorder="1" applyAlignment="1" applyProtection="1">
      <alignment horizontal="right" vertical="center"/>
      <protection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1" fillId="24" borderId="13" xfId="0" applyNumberFormat="1" applyFont="1" applyFill="1" applyBorder="1" applyAlignment="1" applyProtection="1">
      <alignment horizontal="center" vertical="center" wrapText="1"/>
      <protection/>
    </xf>
    <xf numFmtId="0" fontId="7" fillId="24" borderId="14" xfId="0" applyNumberFormat="1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center" vertical="center"/>
    </xf>
    <xf numFmtId="0" fontId="12" fillId="0" borderId="0" xfId="231" applyFont="1" applyAlignment="1">
      <alignment horizontal="right"/>
      <protection/>
    </xf>
    <xf numFmtId="179" fontId="35" fillId="0" borderId="11" xfId="0" applyNumberFormat="1" applyFont="1" applyFill="1" applyBorder="1" applyAlignment="1" applyProtection="1">
      <alignment horizontal="center" vertical="center"/>
      <protection/>
    </xf>
    <xf numFmtId="180" fontId="35" fillId="0" borderId="34" xfId="0" applyNumberFormat="1" applyFont="1" applyFill="1" applyBorder="1" applyAlignment="1" applyProtection="1">
      <alignment horizontal="center" vertical="center"/>
      <protection/>
    </xf>
    <xf numFmtId="180" fontId="35" fillId="0" borderId="20" xfId="0" applyNumberFormat="1" applyFont="1" applyFill="1" applyBorder="1" applyAlignment="1" applyProtection="1">
      <alignment horizontal="center" vertical="center"/>
      <protection/>
    </xf>
    <xf numFmtId="178" fontId="35" fillId="0" borderId="34" xfId="0" applyNumberFormat="1" applyFont="1" applyFill="1" applyBorder="1" applyAlignment="1" applyProtection="1">
      <alignment horizontal="center" vertical="center"/>
      <protection/>
    </xf>
    <xf numFmtId="180" fontId="12" fillId="0" borderId="0" xfId="231" applyNumberFormat="1" applyFont="1">
      <alignment/>
      <protection/>
    </xf>
    <xf numFmtId="0" fontId="35" fillId="24" borderId="0" xfId="0" applyNumberFormat="1" applyFont="1" applyFill="1" applyBorder="1" applyAlignment="1" applyProtection="1">
      <alignment vertical="center"/>
      <protection/>
    </xf>
    <xf numFmtId="0" fontId="35" fillId="24" borderId="10" xfId="0" applyNumberFormat="1" applyFont="1" applyFill="1" applyBorder="1" applyAlignment="1" applyProtection="1">
      <alignment vertical="center"/>
      <protection/>
    </xf>
    <xf numFmtId="0" fontId="36" fillId="24" borderId="11" xfId="0" applyNumberFormat="1" applyFont="1" applyFill="1" applyBorder="1" applyAlignment="1" applyProtection="1">
      <alignment horizontal="center" vertical="center" wrapText="1"/>
      <protection/>
    </xf>
    <xf numFmtId="0" fontId="36" fillId="24" borderId="14" xfId="0" applyNumberFormat="1" applyFont="1" applyFill="1" applyBorder="1" applyAlignment="1" applyProtection="1">
      <alignment horizontal="center" vertical="center" wrapText="1"/>
      <protection/>
    </xf>
    <xf numFmtId="0" fontId="7" fillId="24" borderId="24" xfId="0" applyNumberFormat="1" applyFont="1" applyFill="1" applyBorder="1" applyAlignment="1" applyProtection="1">
      <alignment horizontal="left" vertical="center"/>
      <protection/>
    </xf>
    <xf numFmtId="178" fontId="1" fillId="24" borderId="11" xfId="0" applyNumberFormat="1" applyFont="1" applyFill="1" applyBorder="1" applyAlignment="1" applyProtection="1">
      <alignment horizontal="center" vertical="center" wrapText="1"/>
      <protection/>
    </xf>
    <xf numFmtId="178" fontId="1" fillId="24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0" fontId="7" fillId="24" borderId="11" xfId="0" applyNumberFormat="1" applyFont="1" applyFill="1" applyBorder="1" applyAlignment="1" applyProtection="1">
      <alignment horizontal="left" vertical="center"/>
      <protection/>
    </xf>
    <xf numFmtId="0" fontId="7" fillId="24" borderId="24" xfId="0" applyNumberFormat="1" applyFont="1" applyFill="1" applyBorder="1" applyAlignment="1" applyProtection="1">
      <alignment vertical="center"/>
      <protection/>
    </xf>
    <xf numFmtId="178" fontId="20" fillId="0" borderId="0" xfId="231" applyNumberFormat="1" applyFont="1">
      <alignment/>
      <protection/>
    </xf>
    <xf numFmtId="0" fontId="0" fillId="0" borderId="0" xfId="126">
      <alignment vertical="center"/>
      <protection/>
    </xf>
    <xf numFmtId="0" fontId="3" fillId="0" borderId="0" xfId="126" applyFont="1" applyAlignment="1">
      <alignment vertical="center" wrapText="1"/>
      <protection/>
    </xf>
    <xf numFmtId="0" fontId="5" fillId="0" borderId="0" xfId="126" applyFont="1" applyAlignment="1">
      <alignment horizontal="right" vertical="center" wrapText="1"/>
      <protection/>
    </xf>
    <xf numFmtId="0" fontId="7" fillId="0" borderId="11" xfId="126" applyFont="1" applyBorder="1" applyAlignment="1">
      <alignment horizontal="center" vertical="center" wrapText="1"/>
      <protection/>
    </xf>
    <xf numFmtId="0" fontId="7" fillId="0" borderId="11" xfId="126" applyFont="1" applyBorder="1" applyAlignment="1">
      <alignment vertical="center" wrapText="1"/>
      <protection/>
    </xf>
    <xf numFmtId="178" fontId="7" fillId="0" borderId="11" xfId="126" applyNumberFormat="1" applyFont="1" applyBorder="1" applyAlignment="1">
      <alignment horizontal="center" vertical="center" wrapText="1"/>
      <protection/>
    </xf>
    <xf numFmtId="0" fontId="7" fillId="0" borderId="11" xfId="126" applyFont="1" applyBorder="1" applyAlignment="1">
      <alignment vertical="center" wrapText="1" shrinkToFit="1"/>
      <protection/>
    </xf>
    <xf numFmtId="178" fontId="7" fillId="0" borderId="16" xfId="126" applyNumberFormat="1" applyFont="1" applyBorder="1" applyAlignment="1">
      <alignment horizontal="center" vertical="center" wrapText="1"/>
      <protection/>
    </xf>
    <xf numFmtId="178" fontId="7" fillId="0" borderId="0" xfId="126" applyNumberFormat="1" applyFont="1" applyAlignment="1">
      <alignment horizontal="center" vertical="center" wrapText="1"/>
      <protection/>
    </xf>
    <xf numFmtId="0" fontId="7" fillId="0" borderId="12" xfId="126" applyFont="1" applyBorder="1" applyAlignment="1">
      <alignment horizontal="center" vertical="center" wrapText="1"/>
      <protection/>
    </xf>
    <xf numFmtId="178" fontId="7" fillId="0" borderId="13" xfId="126" applyNumberFormat="1" applyFont="1" applyBorder="1" applyAlignment="1">
      <alignment horizontal="center" vertical="center" wrapText="1"/>
      <protection/>
    </xf>
    <xf numFmtId="178" fontId="7" fillId="0" borderId="24" xfId="126" applyNumberFormat="1" applyFont="1" applyBorder="1" applyAlignment="1">
      <alignment horizontal="center" vertical="center" wrapText="1"/>
      <protection/>
    </xf>
    <xf numFmtId="0" fontId="36" fillId="0" borderId="11" xfId="126" applyFont="1" applyBorder="1" applyAlignment="1">
      <alignment horizontal="center" vertical="center" wrapText="1"/>
      <protection/>
    </xf>
    <xf numFmtId="0" fontId="25" fillId="0" borderId="0" xfId="229" applyFont="1">
      <alignment vertical="center"/>
      <protection/>
    </xf>
    <xf numFmtId="0" fontId="38" fillId="0" borderId="0" xfId="229" applyFont="1">
      <alignment vertical="center"/>
      <protection/>
    </xf>
    <xf numFmtId="0" fontId="8" fillId="0" borderId="0" xfId="229" applyFont="1">
      <alignment vertical="center"/>
      <protection/>
    </xf>
    <xf numFmtId="0" fontId="20" fillId="0" borderId="13" xfId="228" applyFont="1" applyFill="1" applyBorder="1" applyAlignment="1">
      <alignment horizontal="center" vertical="center" wrapText="1"/>
      <protection/>
    </xf>
    <xf numFmtId="179" fontId="20" fillId="0" borderId="13" xfId="229" applyNumberFormat="1" applyFont="1" applyBorder="1" applyAlignment="1">
      <alignment horizontal="center" vertical="center" wrapText="1"/>
      <protection/>
    </xf>
    <xf numFmtId="0" fontId="18" fillId="0" borderId="13" xfId="229" applyFont="1" applyBorder="1">
      <alignment vertical="center"/>
      <protection/>
    </xf>
    <xf numFmtId="0" fontId="20" fillId="0" borderId="13" xfId="229" applyFont="1" applyBorder="1" applyAlignment="1">
      <alignment horizontal="center" vertical="center"/>
      <protection/>
    </xf>
    <xf numFmtId="179" fontId="20" fillId="0" borderId="13" xfId="229" applyNumberFormat="1" applyFont="1" applyBorder="1" applyAlignment="1">
      <alignment horizontal="center" vertical="center"/>
      <protection/>
    </xf>
    <xf numFmtId="0" fontId="27" fillId="0" borderId="13" xfId="229" applyFont="1" applyBorder="1" applyAlignment="1">
      <alignment horizontal="center" vertical="center"/>
      <protection/>
    </xf>
    <xf numFmtId="0" fontId="25" fillId="0" borderId="0" xfId="232" applyFont="1">
      <alignment/>
      <protection/>
    </xf>
    <xf numFmtId="0" fontId="20" fillId="0" borderId="13" xfId="241" applyFont="1" applyBorder="1" applyAlignment="1">
      <alignment horizontal="center" vertical="center"/>
      <protection/>
    </xf>
    <xf numFmtId="0" fontId="20" fillId="0" borderId="13" xfId="242" applyFont="1" applyBorder="1" applyAlignment="1">
      <alignment horizontal="center" vertical="center" wrapText="1"/>
      <protection/>
    </xf>
    <xf numFmtId="49" fontId="20" fillId="0" borderId="25" xfId="242" applyNumberFormat="1" applyFont="1" applyBorder="1" applyAlignment="1">
      <alignment horizontal="center" vertical="center" wrapText="1"/>
      <protection/>
    </xf>
    <xf numFmtId="49" fontId="20" fillId="0" borderId="13" xfId="242" applyNumberFormat="1" applyFont="1" applyBorder="1" applyAlignment="1">
      <alignment horizontal="center" vertical="center" wrapText="1"/>
      <protection/>
    </xf>
    <xf numFmtId="0" fontId="20" fillId="0" borderId="13" xfId="232" applyFont="1" applyBorder="1" applyAlignment="1">
      <alignment horizontal="center" vertical="center"/>
      <protection/>
    </xf>
    <xf numFmtId="185" fontId="20" fillId="0" borderId="13" xfId="241" applyNumberFormat="1" applyFont="1" applyBorder="1" applyAlignment="1">
      <alignment horizontal="center" vertical="center" wrapText="1"/>
      <protection/>
    </xf>
    <xf numFmtId="179" fontId="20" fillId="0" borderId="13" xfId="241" applyNumberFormat="1" applyFont="1" applyBorder="1" applyAlignment="1">
      <alignment horizontal="center" vertical="center" wrapText="1"/>
      <protection/>
    </xf>
    <xf numFmtId="0" fontId="24" fillId="0" borderId="25" xfId="239" applyFont="1" applyFill="1" applyBorder="1" applyAlignment="1">
      <alignment horizontal="center" vertical="center"/>
      <protection/>
    </xf>
    <xf numFmtId="185" fontId="20" fillId="0" borderId="25" xfId="241" applyNumberFormat="1" applyFont="1" applyBorder="1" applyAlignment="1">
      <alignment horizontal="center" vertical="center" wrapText="1"/>
      <protection/>
    </xf>
    <xf numFmtId="179" fontId="20" fillId="0" borderId="25" xfId="241" applyNumberFormat="1" applyFont="1" applyBorder="1" applyAlignment="1">
      <alignment horizontal="center" vertical="center" wrapText="1"/>
      <protection/>
    </xf>
    <xf numFmtId="0" fontId="20" fillId="25" borderId="13" xfId="229" applyFont="1" applyFill="1" applyBorder="1" applyAlignment="1">
      <alignment horizontal="center" vertical="center"/>
      <protection/>
    </xf>
    <xf numFmtId="0" fontId="8" fillId="0" borderId="0" xfId="232" applyFont="1" applyFill="1">
      <alignment/>
      <protection/>
    </xf>
    <xf numFmtId="0" fontId="39" fillId="0" borderId="26" xfId="232" applyFont="1" applyBorder="1" applyAlignment="1">
      <alignment horizontal="center" vertical="top"/>
      <protection/>
    </xf>
    <xf numFmtId="0" fontId="39" fillId="0" borderId="26" xfId="232" applyFont="1" applyFill="1" applyBorder="1" applyAlignment="1">
      <alignment horizontal="center" vertical="top"/>
      <protection/>
    </xf>
    <xf numFmtId="0" fontId="20" fillId="0" borderId="25" xfId="241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3" xfId="228" applyFont="1" applyFill="1" applyBorder="1" applyAlignment="1">
      <alignment horizontal="center" vertical="center" wrapText="1"/>
      <protection/>
    </xf>
    <xf numFmtId="0" fontId="8" fillId="0" borderId="13" xfId="228" applyFont="1" applyFill="1" applyBorder="1" applyAlignment="1">
      <alignment horizontal="center" vertical="center" wrapText="1"/>
      <protection/>
    </xf>
    <xf numFmtId="179" fontId="0" fillId="0" borderId="13" xfId="229" applyNumberFormat="1" applyFont="1" applyBorder="1" applyAlignment="1">
      <alignment horizontal="center" vertical="center" wrapText="1"/>
      <protection/>
    </xf>
    <xf numFmtId="0" fontId="0" fillId="0" borderId="13" xfId="229" applyFont="1" applyBorder="1">
      <alignment vertical="center"/>
      <protection/>
    </xf>
    <xf numFmtId="0" fontId="8" fillId="0" borderId="13" xfId="229" applyFont="1" applyBorder="1" applyAlignment="1">
      <alignment horizontal="center" vertical="center"/>
      <protection/>
    </xf>
    <xf numFmtId="179" fontId="8" fillId="0" borderId="13" xfId="229" applyNumberFormat="1" applyFont="1" applyBorder="1" applyAlignment="1">
      <alignment horizontal="center" vertical="center"/>
      <protection/>
    </xf>
    <xf numFmtId="0" fontId="21" fillId="0" borderId="13" xfId="229" applyFont="1" applyBorder="1" applyAlignment="1">
      <alignment horizontal="center" vertical="center"/>
      <protection/>
    </xf>
    <xf numFmtId="0" fontId="25" fillId="0" borderId="0" xfId="241" applyFont="1">
      <alignment/>
      <protection/>
    </xf>
    <xf numFmtId="0" fontId="8" fillId="0" borderId="0" xfId="241" applyFont="1">
      <alignment/>
      <protection/>
    </xf>
    <xf numFmtId="0" fontId="20" fillId="0" borderId="13" xfId="241" applyFont="1" applyBorder="1" applyAlignment="1">
      <alignment horizontal="center" vertical="center" wrapText="1"/>
      <protection/>
    </xf>
    <xf numFmtId="0" fontId="2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0" fillId="0" borderId="13" xfId="238" applyFont="1" applyBorder="1" applyAlignment="1" applyProtection="1">
      <alignment vertical="center"/>
      <protection locked="0"/>
    </xf>
    <xf numFmtId="0" fontId="18" fillId="24" borderId="13" xfId="145" applyFont="1" applyFill="1" applyBorder="1" applyAlignment="1">
      <alignment horizontal="left" vertical="center"/>
      <protection/>
    </xf>
    <xf numFmtId="0" fontId="8" fillId="0" borderId="0" xfId="237" applyFont="1" applyBorder="1">
      <alignment/>
      <protection/>
    </xf>
    <xf numFmtId="0" fontId="8" fillId="0" borderId="0" xfId="0" applyFont="1" applyAlignment="1">
      <alignment horizontal="center" vertical="center"/>
    </xf>
    <xf numFmtId="0" fontId="25" fillId="0" borderId="0" xfId="230" applyFont="1">
      <alignment/>
      <protection/>
    </xf>
    <xf numFmtId="0" fontId="20" fillId="0" borderId="0" xfId="230" applyFont="1">
      <alignment/>
      <protection/>
    </xf>
    <xf numFmtId="0" fontId="20" fillId="0" borderId="0" xfId="230" applyFont="1" applyAlignment="1">
      <alignment vertical="center"/>
      <protection/>
    </xf>
    <xf numFmtId="0" fontId="8" fillId="0" borderId="0" xfId="230" applyFont="1">
      <alignment/>
      <protection/>
    </xf>
    <xf numFmtId="0" fontId="20" fillId="0" borderId="0" xfId="242" applyFont="1" applyAlignment="1">
      <alignment horizontal="right"/>
      <protection/>
    </xf>
    <xf numFmtId="49" fontId="18" fillId="0" borderId="13" xfId="242" applyNumberFormat="1" applyFont="1" applyBorder="1" applyAlignment="1">
      <alignment horizontal="center" vertical="center" wrapText="1"/>
      <protection/>
    </xf>
    <xf numFmtId="2" fontId="20" fillId="0" borderId="13" xfId="241" applyNumberFormat="1" applyFont="1" applyFill="1" applyBorder="1" applyAlignment="1">
      <alignment horizontal="center" vertical="center"/>
      <protection/>
    </xf>
    <xf numFmtId="0" fontId="20" fillId="0" borderId="13" xfId="230" applyFont="1" applyBorder="1" applyAlignment="1">
      <alignment horizontal="center" vertical="center"/>
      <protection/>
    </xf>
    <xf numFmtId="0" fontId="8" fillId="0" borderId="13" xfId="230" applyFont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28" fillId="0" borderId="0" xfId="242" applyFont="1" applyAlignment="1">
      <alignment horizontal="centerContinuous"/>
      <protection/>
    </xf>
    <xf numFmtId="0" fontId="26" fillId="0" borderId="0" xfId="242" applyFont="1" applyAlignment="1">
      <alignment horizontal="centerContinuous"/>
      <protection/>
    </xf>
    <xf numFmtId="179" fontId="20" fillId="0" borderId="13" xfId="241" applyNumberFormat="1" applyFont="1" applyBorder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24" borderId="13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/>
    </xf>
    <xf numFmtId="0" fontId="8" fillId="0" borderId="0" xfId="230" applyFont="1" applyFill="1">
      <alignment/>
      <protection/>
    </xf>
    <xf numFmtId="0" fontId="28" fillId="0" borderId="0" xfId="242" applyFont="1" applyFill="1" applyAlignment="1">
      <alignment horizontal="centerContinuous"/>
      <protection/>
    </xf>
    <xf numFmtId="0" fontId="20" fillId="0" borderId="0" xfId="242" applyFont="1" applyFill="1">
      <alignment/>
      <protection/>
    </xf>
    <xf numFmtId="0" fontId="26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178" fontId="20" fillId="0" borderId="13" xfId="241" applyNumberFormat="1" applyFont="1" applyBorder="1" applyAlignment="1">
      <alignment horizontal="center" vertical="center"/>
      <protection/>
    </xf>
    <xf numFmtId="178" fontId="8" fillId="0" borderId="0" xfId="0" applyNumberFormat="1" applyFont="1" applyAlignment="1">
      <alignment vertical="center"/>
    </xf>
    <xf numFmtId="0" fontId="19" fillId="0" borderId="0" xfId="241" applyFont="1" applyAlignment="1">
      <alignment horizontal="centerContinuous"/>
      <protection/>
    </xf>
    <xf numFmtId="0" fontId="40" fillId="0" borderId="0" xfId="241" applyFont="1" applyAlignment="1">
      <alignment horizontal="centerContinuous"/>
      <protection/>
    </xf>
    <xf numFmtId="1" fontId="8" fillId="0" borderId="0" xfId="241" applyNumberFormat="1" applyFont="1">
      <alignment/>
      <protection/>
    </xf>
    <xf numFmtId="0" fontId="8" fillId="0" borderId="0" xfId="241" applyFont="1" applyAlignment="1">
      <alignment wrapText="1"/>
      <protection/>
    </xf>
    <xf numFmtId="0" fontId="20" fillId="0" borderId="35" xfId="241" applyFont="1" applyBorder="1" applyAlignment="1">
      <alignment horizontal="left" vertical="center" wrapText="1"/>
      <protection/>
    </xf>
    <xf numFmtId="0" fontId="19" fillId="0" borderId="0" xfId="241" applyFont="1" applyAlignment="1">
      <alignment horizontal="center" vertical="center"/>
      <protection/>
    </xf>
    <xf numFmtId="0" fontId="8" fillId="0" borderId="0" xfId="237" applyFont="1" applyBorder="1" applyAlignment="1">
      <alignment horizontal="left" wrapText="1"/>
      <protection/>
    </xf>
    <xf numFmtId="0" fontId="2" fillId="0" borderId="35" xfId="241" applyFont="1" applyBorder="1" applyAlignment="1">
      <alignment horizontal="left" vertical="center" wrapText="1"/>
      <protection/>
    </xf>
    <xf numFmtId="0" fontId="12" fillId="0" borderId="35" xfId="241" applyFont="1" applyBorder="1" applyAlignment="1">
      <alignment horizontal="left" vertical="center" wrapText="1"/>
      <protection/>
    </xf>
    <xf numFmtId="0" fontId="19" fillId="0" borderId="0" xfId="237" applyFont="1" applyBorder="1" applyAlignment="1">
      <alignment horizontal="center" vertical="center"/>
      <protection/>
    </xf>
    <xf numFmtId="0" fontId="2" fillId="24" borderId="35" xfId="241" applyFont="1" applyFill="1" applyBorder="1" applyAlignment="1">
      <alignment horizontal="left" wrapText="1"/>
      <protection/>
    </xf>
    <xf numFmtId="0" fontId="12" fillId="24" borderId="35" xfId="0" applyFont="1" applyFill="1" applyBorder="1" applyAlignment="1">
      <alignment horizontal="left" wrapText="1"/>
    </xf>
    <xf numFmtId="0" fontId="2" fillId="24" borderId="0" xfId="0" applyFont="1" applyFill="1" applyAlignment="1">
      <alignment horizontal="left" wrapText="1"/>
    </xf>
    <xf numFmtId="0" fontId="2" fillId="24" borderId="0" xfId="0" applyFont="1" applyFill="1" applyAlignment="1">
      <alignment wrapText="1"/>
    </xf>
    <xf numFmtId="0" fontId="12" fillId="0" borderId="35" xfId="241" applyFont="1" applyBorder="1" applyAlignment="1">
      <alignment vertical="center" wrapText="1"/>
      <protection/>
    </xf>
    <xf numFmtId="0" fontId="8" fillId="0" borderId="0" xfId="241" applyFont="1" applyBorder="1" applyAlignment="1">
      <alignment horizontal="left" wrapText="1"/>
      <protection/>
    </xf>
    <xf numFmtId="0" fontId="8" fillId="0" borderId="26" xfId="229" applyNumberFormat="1" applyFont="1" applyBorder="1" applyAlignment="1">
      <alignment horizontal="right" vertical="center" wrapText="1"/>
      <protection/>
    </xf>
    <xf numFmtId="0" fontId="19" fillId="0" borderId="0" xfId="232" applyFont="1" applyBorder="1" applyAlignment="1">
      <alignment horizontal="center" vertical="center"/>
      <protection/>
    </xf>
    <xf numFmtId="0" fontId="20" fillId="0" borderId="26" xfId="232" applyFont="1" applyBorder="1" applyAlignment="1">
      <alignment horizontal="right" vertical="center" wrapText="1"/>
      <protection/>
    </xf>
    <xf numFmtId="0" fontId="19" fillId="0" borderId="0" xfId="229" applyFont="1" applyAlignment="1">
      <alignment horizontal="center" vertical="center"/>
      <protection/>
    </xf>
    <xf numFmtId="0" fontId="38" fillId="0" borderId="26" xfId="229" applyFont="1" applyBorder="1" applyAlignment="1">
      <alignment horizontal="right" vertical="center"/>
      <protection/>
    </xf>
    <xf numFmtId="0" fontId="38" fillId="0" borderId="35" xfId="240" applyFont="1" applyFill="1" applyBorder="1" applyAlignment="1">
      <alignment horizontal="left" vertical="center" wrapText="1"/>
      <protection/>
    </xf>
    <xf numFmtId="0" fontId="38" fillId="0" borderId="35" xfId="0" applyFont="1" applyFill="1" applyBorder="1" applyAlignment="1">
      <alignment horizontal="left" vertical="center" wrapText="1"/>
    </xf>
    <xf numFmtId="0" fontId="3" fillId="0" borderId="0" xfId="126" applyFont="1" applyAlignment="1">
      <alignment horizontal="right" vertical="center" wrapText="1"/>
      <protection/>
    </xf>
    <xf numFmtId="0" fontId="4" fillId="24" borderId="0" xfId="231" applyNumberFormat="1" applyFont="1" applyFill="1" applyBorder="1" applyAlignment="1" applyProtection="1">
      <alignment horizontal="center" vertical="center"/>
      <protection/>
    </xf>
    <xf numFmtId="0" fontId="6" fillId="0" borderId="12" xfId="126" applyFont="1" applyBorder="1" applyAlignment="1">
      <alignment horizontal="center" vertical="center" wrapText="1"/>
      <protection/>
    </xf>
    <xf numFmtId="0" fontId="6" fillId="0" borderId="14" xfId="126" applyFont="1" applyBorder="1" applyAlignment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/>
      <protection/>
    </xf>
    <xf numFmtId="0" fontId="35" fillId="24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>
      <alignment horizontal="right" vertical="center"/>
    </xf>
    <xf numFmtId="0" fontId="18" fillId="0" borderId="0" xfId="231" applyFont="1" applyAlignment="1">
      <alignment horizontal="left" vertical="center" wrapText="1"/>
      <protection/>
    </xf>
    <xf numFmtId="0" fontId="37" fillId="24" borderId="0" xfId="231" applyNumberFormat="1" applyFont="1" applyFill="1" applyBorder="1" applyAlignment="1" applyProtection="1">
      <alignment horizontal="center" vertical="center"/>
      <protection/>
    </xf>
    <xf numFmtId="0" fontId="19" fillId="0" borderId="0" xfId="242" applyFont="1" applyAlignment="1">
      <alignment horizontal="center" vertical="center"/>
      <protection/>
    </xf>
    <xf numFmtId="0" fontId="19" fillId="0" borderId="0" xfId="242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20" fillId="0" borderId="13" xfId="233" applyNumberFormat="1" applyFont="1" applyBorder="1" applyAlignment="1">
      <alignment horizontal="center" vertical="center"/>
      <protection/>
    </xf>
    <xf numFmtId="0" fontId="19" fillId="0" borderId="0" xfId="52" applyNumberFormat="1" applyFont="1" applyFill="1" applyAlignment="1">
      <alignment horizontal="center" vertical="center" wrapText="1"/>
      <protection/>
    </xf>
    <xf numFmtId="0" fontId="29" fillId="0" borderId="13" xfId="228" applyFont="1" applyFill="1" applyBorder="1" applyAlignment="1">
      <alignment horizontal="center" vertical="center" wrapText="1"/>
      <protection/>
    </xf>
    <xf numFmtId="0" fontId="29" fillId="0" borderId="13" xfId="52" applyNumberFormat="1" applyFont="1" applyFill="1" applyBorder="1" applyAlignment="1">
      <alignment horizontal="center" vertical="center" wrapText="1"/>
      <protection/>
    </xf>
    <xf numFmtId="0" fontId="8" fillId="0" borderId="35" xfId="0" applyFont="1" applyBorder="1" applyAlignment="1">
      <alignment horizontal="left" wrapText="1"/>
    </xf>
    <xf numFmtId="0" fontId="19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35" xfId="143" applyFont="1" applyFill="1" applyBorder="1" applyAlignment="1">
      <alignment horizontal="left" vertical="center"/>
      <protection/>
    </xf>
    <xf numFmtId="0" fontId="0" fillId="0" borderId="26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4" fillId="24" borderId="0" xfId="144" applyNumberFormat="1" applyFont="1" applyFill="1" applyBorder="1" applyAlignment="1" applyProtection="1">
      <alignment horizontal="center" vertical="center"/>
      <protection/>
    </xf>
    <xf numFmtId="0" fontId="1" fillId="24" borderId="0" xfId="144" applyNumberFormat="1" applyFont="1" applyFill="1" applyBorder="1" applyAlignment="1" applyProtection="1">
      <alignment horizontal="right" vertical="center"/>
      <protection/>
    </xf>
    <xf numFmtId="0" fontId="1" fillId="24" borderId="10" xfId="144" applyNumberFormat="1" applyFont="1" applyFill="1" applyBorder="1" applyAlignment="1" applyProtection="1">
      <alignment horizontal="right" vertical="center"/>
      <protection/>
    </xf>
    <xf numFmtId="0" fontId="3" fillId="24" borderId="0" xfId="144" applyNumberFormat="1" applyFont="1" applyFill="1" applyBorder="1" applyAlignment="1" applyProtection="1">
      <alignment horizontal="right"/>
      <protection/>
    </xf>
    <xf numFmtId="0" fontId="10" fillId="24" borderId="12" xfId="144" applyNumberFormat="1" applyFont="1" applyFill="1" applyBorder="1" applyAlignment="1" applyProtection="1">
      <alignment horizontal="center" vertical="center"/>
      <protection/>
    </xf>
    <xf numFmtId="0" fontId="10" fillId="24" borderId="15" xfId="144" applyNumberFormat="1" applyFont="1" applyFill="1" applyBorder="1" applyAlignment="1" applyProtection="1">
      <alignment horizontal="center" vertical="center"/>
      <protection/>
    </xf>
    <xf numFmtId="0" fontId="10" fillId="24" borderId="13" xfId="144" applyNumberFormat="1" applyFont="1" applyFill="1" applyBorder="1" applyAlignment="1" applyProtection="1">
      <alignment horizontal="center" vertical="center"/>
      <protection/>
    </xf>
    <xf numFmtId="0" fontId="10" fillId="24" borderId="20" xfId="144" applyNumberFormat="1" applyFont="1" applyFill="1" applyBorder="1" applyAlignment="1" applyProtection="1">
      <alignment horizontal="center" vertical="center"/>
      <protection/>
    </xf>
    <xf numFmtId="0" fontId="10" fillId="24" borderId="36" xfId="144" applyNumberFormat="1" applyFont="1" applyFill="1" applyBorder="1" applyAlignment="1" applyProtection="1">
      <alignment horizontal="center" vertical="center"/>
      <protection/>
    </xf>
    <xf numFmtId="0" fontId="10" fillId="24" borderId="16" xfId="144" applyNumberFormat="1" applyFont="1" applyFill="1" applyBorder="1" applyAlignment="1" applyProtection="1">
      <alignment horizontal="center" vertical="center"/>
      <protection/>
    </xf>
    <xf numFmtId="0" fontId="10" fillId="24" borderId="24" xfId="144" applyNumberFormat="1" applyFont="1" applyFill="1" applyBorder="1" applyAlignment="1" applyProtection="1">
      <alignment horizontal="center" vertical="center"/>
      <protection/>
    </xf>
    <xf numFmtId="0" fontId="10" fillId="24" borderId="25" xfId="144" applyNumberFormat="1" applyFont="1" applyFill="1" applyBorder="1" applyAlignment="1" applyProtection="1">
      <alignment horizontal="center" vertical="center"/>
      <protection/>
    </xf>
    <xf numFmtId="0" fontId="10" fillId="24" borderId="27" xfId="144" applyNumberFormat="1" applyFont="1" applyFill="1" applyBorder="1" applyAlignment="1" applyProtection="1">
      <alignment horizontal="center" vertical="center"/>
      <protection/>
    </xf>
    <xf numFmtId="0" fontId="10" fillId="24" borderId="35" xfId="144" applyNumberFormat="1" applyFont="1" applyFill="1" applyBorder="1" applyAlignment="1" applyProtection="1">
      <alignment horizontal="center" vertical="center"/>
      <protection/>
    </xf>
    <xf numFmtId="0" fontId="10" fillId="24" borderId="26" xfId="144" applyNumberFormat="1" applyFont="1" applyFill="1" applyBorder="1" applyAlignment="1" applyProtection="1">
      <alignment horizontal="center" vertical="center"/>
      <protection/>
    </xf>
    <xf numFmtId="0" fontId="9" fillId="24" borderId="0" xfId="144" applyNumberFormat="1" applyFont="1" applyFill="1" applyBorder="1" applyAlignment="1" applyProtection="1">
      <alignment horizontal="center" vertical="center"/>
      <protection/>
    </xf>
    <xf numFmtId="0" fontId="5" fillId="24" borderId="0" xfId="144" applyNumberFormat="1" applyFont="1" applyFill="1" applyBorder="1" applyAlignment="1" applyProtection="1">
      <alignment horizontal="center" vertical="center"/>
      <protection/>
    </xf>
    <xf numFmtId="0" fontId="18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 shrinkToFit="1"/>
    </xf>
  </cellXfs>
  <cellStyles count="268">
    <cellStyle name="Normal" xfId="0"/>
    <cellStyle name="_2015年市本级财力测算(12.11)" xfId="15"/>
    <cellStyle name="_ET_STYLE_NoName_00_" xfId="16"/>
    <cellStyle name="0,0&#13;&#10;NA&#13;&#10;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0" xfId="36"/>
    <cellStyle name="RowLevel_0" xfId="37"/>
    <cellStyle name="Percent" xfId="38"/>
    <cellStyle name="百分比 2" xfId="39"/>
    <cellStyle name="百分比 2 2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差_2015年市本级全口径预算草案 - 副本" xfId="47"/>
    <cellStyle name="差_大通湖" xfId="48"/>
    <cellStyle name="差_附件2 益阳市市级国有资本经营预算表(4)" xfId="49"/>
    <cellStyle name="差_附件2 益阳市市级国有资本经营预算表(定稿)" xfId="50"/>
    <cellStyle name="差_长沙" xfId="51"/>
    <cellStyle name="常规 10" xfId="52"/>
    <cellStyle name="常规 10 2" xfId="53"/>
    <cellStyle name="常规 10 2 2" xfId="54"/>
    <cellStyle name="常规 10 2 3" xfId="55"/>
    <cellStyle name="常规 10 2 4" xfId="56"/>
    <cellStyle name="常规 10 3" xfId="57"/>
    <cellStyle name="常规 10 3 2" xfId="58"/>
    <cellStyle name="常规 10 3 3" xfId="59"/>
    <cellStyle name="常规 10 3 4" xfId="60"/>
    <cellStyle name="常规 10 4" xfId="61"/>
    <cellStyle name="常规 10 4 2" xfId="62"/>
    <cellStyle name="常规 10 4 3" xfId="63"/>
    <cellStyle name="常规 10 4 4" xfId="64"/>
    <cellStyle name="常规 10 5" xfId="65"/>
    <cellStyle name="常规 10 6" xfId="66"/>
    <cellStyle name="常规 10 7" xfId="67"/>
    <cellStyle name="常规 10 8" xfId="68"/>
    <cellStyle name="常规 10 9" xfId="69"/>
    <cellStyle name="常规 10_长沙" xfId="70"/>
    <cellStyle name="常规 11" xfId="71"/>
    <cellStyle name="常规 11 2" xfId="72"/>
    <cellStyle name="常规 11 2 2" xfId="73"/>
    <cellStyle name="常规 11 2 3" xfId="74"/>
    <cellStyle name="常规 11 2 4" xfId="75"/>
    <cellStyle name="常规 11 3" xfId="76"/>
    <cellStyle name="常规 11 3 2" xfId="77"/>
    <cellStyle name="常规 11 3 3" xfId="78"/>
    <cellStyle name="常规 11 3 4" xfId="79"/>
    <cellStyle name="常规 11 4" xfId="80"/>
    <cellStyle name="常规 11 4 2" xfId="81"/>
    <cellStyle name="常规 11 4 3" xfId="82"/>
    <cellStyle name="常规 11 4 4" xfId="83"/>
    <cellStyle name="常规 11 5" xfId="84"/>
    <cellStyle name="常规 11 6" xfId="85"/>
    <cellStyle name="常规 11 7" xfId="86"/>
    <cellStyle name="常规 11 8" xfId="87"/>
    <cellStyle name="常规 11 9" xfId="88"/>
    <cellStyle name="常规 11_长沙" xfId="89"/>
    <cellStyle name="常规 12" xfId="90"/>
    <cellStyle name="常规 12 2" xfId="91"/>
    <cellStyle name="常规 12 2 2" xfId="92"/>
    <cellStyle name="常规 12 2 3" xfId="93"/>
    <cellStyle name="常规 12 2 4" xfId="94"/>
    <cellStyle name="常规 12 3" xfId="95"/>
    <cellStyle name="常规 12 3 2" xfId="96"/>
    <cellStyle name="常规 12 3 3" xfId="97"/>
    <cellStyle name="常规 12 3 4" xfId="98"/>
    <cellStyle name="常规 12 4" xfId="99"/>
    <cellStyle name="常规 12 4 2" xfId="100"/>
    <cellStyle name="常规 12 4 3" xfId="101"/>
    <cellStyle name="常规 12 4 4" xfId="102"/>
    <cellStyle name="常规 12 5" xfId="103"/>
    <cellStyle name="常规 12 6" xfId="104"/>
    <cellStyle name="常规 12 7" xfId="105"/>
    <cellStyle name="常规 12 8" xfId="106"/>
    <cellStyle name="常规 12 9" xfId="107"/>
    <cellStyle name="常规 12_长沙" xfId="108"/>
    <cellStyle name="常规 13" xfId="109"/>
    <cellStyle name="常规 13 2" xfId="110"/>
    <cellStyle name="常规 13 3" xfId="111"/>
    <cellStyle name="常规 13 4" xfId="112"/>
    <cellStyle name="常规 13 5" xfId="113"/>
    <cellStyle name="常规 13 6" xfId="114"/>
    <cellStyle name="常规 13_长沙" xfId="115"/>
    <cellStyle name="常规 14" xfId="116"/>
    <cellStyle name="常规 15" xfId="117"/>
    <cellStyle name="常规 16" xfId="118"/>
    <cellStyle name="常规 16 2" xfId="119"/>
    <cellStyle name="常规 16 3" xfId="120"/>
    <cellStyle name="常规 16 4" xfId="121"/>
    <cellStyle name="常规 16 5" xfId="122"/>
    <cellStyle name="常规 16 6" xfId="123"/>
    <cellStyle name="常规 17" xfId="124"/>
    <cellStyle name="常规 18" xfId="125"/>
    <cellStyle name="常规 19" xfId="126"/>
    <cellStyle name="常规 2" xfId="127"/>
    <cellStyle name="常规 2 10" xfId="128"/>
    <cellStyle name="常规 2 11" xfId="129"/>
    <cellStyle name="常规 2 12" xfId="130"/>
    <cellStyle name="常规 2 13" xfId="131"/>
    <cellStyle name="常规 2 14" xfId="132"/>
    <cellStyle name="常规 2 15" xfId="133"/>
    <cellStyle name="常规 2 2" xfId="134"/>
    <cellStyle name="常规 2 3" xfId="135"/>
    <cellStyle name="常规 2 4" xfId="136"/>
    <cellStyle name="常规 2 5" xfId="137"/>
    <cellStyle name="常规 2 6" xfId="138"/>
    <cellStyle name="常规 2 7" xfId="139"/>
    <cellStyle name="常规 2 8" xfId="140"/>
    <cellStyle name="常规 2 9" xfId="141"/>
    <cellStyle name="常规 2_2012年度湖南省省级国有资本经营预算表" xfId="142"/>
    <cellStyle name="常规 20" xfId="143"/>
    <cellStyle name="常规 21" xfId="144"/>
    <cellStyle name="常规 3" xfId="145"/>
    <cellStyle name="常规 3 10" xfId="146"/>
    <cellStyle name="常规 3 2" xfId="147"/>
    <cellStyle name="常规 3 2 2" xfId="148"/>
    <cellStyle name="常规 3 2 3" xfId="149"/>
    <cellStyle name="常规 3 2 4" xfId="150"/>
    <cellStyle name="常规 3 3" xfId="151"/>
    <cellStyle name="常规 3 3 2" xfId="152"/>
    <cellStyle name="常规 3 3 3" xfId="153"/>
    <cellStyle name="常规 3 3 4" xfId="154"/>
    <cellStyle name="常规 3 4" xfId="155"/>
    <cellStyle name="常规 3 4 2" xfId="156"/>
    <cellStyle name="常规 3 4 3" xfId="157"/>
    <cellStyle name="常规 3 4 4" xfId="158"/>
    <cellStyle name="常规 3 5" xfId="159"/>
    <cellStyle name="常规 3 6" xfId="160"/>
    <cellStyle name="常规 3 7" xfId="161"/>
    <cellStyle name="常规 3 8" xfId="162"/>
    <cellStyle name="常规 3 9" xfId="163"/>
    <cellStyle name="常规 3_长沙" xfId="164"/>
    <cellStyle name="常规 4" xfId="165"/>
    <cellStyle name="常规 4 2" xfId="166"/>
    <cellStyle name="常规 4 2 2" xfId="167"/>
    <cellStyle name="常规 4 2 3" xfId="168"/>
    <cellStyle name="常规 4 2 4" xfId="169"/>
    <cellStyle name="常规 4 3" xfId="170"/>
    <cellStyle name="常规 4 3 2" xfId="171"/>
    <cellStyle name="常规 4 3 3" xfId="172"/>
    <cellStyle name="常规 4 3 4" xfId="173"/>
    <cellStyle name="常规 4 4" xfId="174"/>
    <cellStyle name="常规 4 4 2" xfId="175"/>
    <cellStyle name="常规 4 4 3" xfId="176"/>
    <cellStyle name="常规 4 4 4" xfId="177"/>
    <cellStyle name="常规 4 5" xfId="178"/>
    <cellStyle name="常规 4 6" xfId="179"/>
    <cellStyle name="常规 4_长沙" xfId="180"/>
    <cellStyle name="常规 5" xfId="181"/>
    <cellStyle name="常规 6" xfId="182"/>
    <cellStyle name="常规 6 2" xfId="183"/>
    <cellStyle name="常规 6 3" xfId="184"/>
    <cellStyle name="常规 6 4" xfId="185"/>
    <cellStyle name="常规 6_长沙" xfId="186"/>
    <cellStyle name="常规 7" xfId="187"/>
    <cellStyle name="常规 7 2" xfId="188"/>
    <cellStyle name="常规 7 2 2" xfId="189"/>
    <cellStyle name="常规 7 2 3" xfId="190"/>
    <cellStyle name="常规 7 2 4" xfId="191"/>
    <cellStyle name="常规 7 3" xfId="192"/>
    <cellStyle name="常规 7 3 2" xfId="193"/>
    <cellStyle name="常规 7 3 3" xfId="194"/>
    <cellStyle name="常规 7 3 4" xfId="195"/>
    <cellStyle name="常规 7 4" xfId="196"/>
    <cellStyle name="常规 7 4 2" xfId="197"/>
    <cellStyle name="常规 7 4 3" xfId="198"/>
    <cellStyle name="常规 7 4 4" xfId="199"/>
    <cellStyle name="常规 7 5" xfId="200"/>
    <cellStyle name="常规 7 6" xfId="201"/>
    <cellStyle name="常规 7 7" xfId="202"/>
    <cellStyle name="常规 7 8" xfId="203"/>
    <cellStyle name="常规 7 9" xfId="204"/>
    <cellStyle name="常规 7_长沙" xfId="205"/>
    <cellStyle name="常规 8" xfId="206"/>
    <cellStyle name="常规 8 2" xfId="207"/>
    <cellStyle name="常规 8 2 2" xfId="208"/>
    <cellStyle name="常规 8 2 3" xfId="209"/>
    <cellStyle name="常规 8 2 4" xfId="210"/>
    <cellStyle name="常规 8 3" xfId="211"/>
    <cellStyle name="常规 8 3 2" xfId="212"/>
    <cellStyle name="常规 8 3 3" xfId="213"/>
    <cellStyle name="常规 8 3 4" xfId="214"/>
    <cellStyle name="常规 8 4" xfId="215"/>
    <cellStyle name="常规 8 4 2" xfId="216"/>
    <cellStyle name="常规 8 4 3" xfId="217"/>
    <cellStyle name="常规 8 4 4" xfId="218"/>
    <cellStyle name="常规 8 5" xfId="219"/>
    <cellStyle name="常规 8 6" xfId="220"/>
    <cellStyle name="常规 8 7" xfId="221"/>
    <cellStyle name="常规 8 8" xfId="222"/>
    <cellStyle name="常规 8 9" xfId="223"/>
    <cellStyle name="常规 8_长沙" xfId="224"/>
    <cellStyle name="常规 9" xfId="225"/>
    <cellStyle name="常规_080102预算处统计08年预算基础数据" xfId="226"/>
    <cellStyle name="常规_09年决算参阅资料(常委会定)" xfId="227"/>
    <cellStyle name="常规_2013年预算表格(3月15报省表内公式表)" xfId="228"/>
    <cellStyle name="常规_2014年本级基金支出" xfId="229"/>
    <cellStyle name="常规_2014年上半年执行执行表格(8.27常委会)" xfId="230"/>
    <cellStyle name="常规_2015市本级年社会保险基金预算表" xfId="231"/>
    <cellStyle name="常规_Book1" xfId="232"/>
    <cellStyle name="常规_Book1_2015年预算市级支出和平衡表" xfId="233"/>
    <cellStyle name="常规_Book1_大财经委人大执行07预算08" xfId="234"/>
    <cellStyle name="常规_Book1_人大执行06预算07" xfId="235"/>
    <cellStyle name="常规_Book1_执行09预算10(1.4)" xfId="236"/>
    <cellStyle name="常规_报送2006年财政收支预计完成情况预计表（市州）！！！" xfId="237"/>
    <cellStyle name="常规_全省收入" xfId="238"/>
    <cellStyle name="常规_市本级" xfId="239"/>
    <cellStyle name="常规_市本级2012年预算(12.10)" xfId="240"/>
    <cellStyle name="常规_预算执行" xfId="241"/>
    <cellStyle name="常规_预算执行2000预算2001" xfId="242"/>
    <cellStyle name="Hyperlink" xfId="243"/>
    <cellStyle name="好" xfId="244"/>
    <cellStyle name="好_2015年市本级全口径预算草案 - 副本" xfId="245"/>
    <cellStyle name="好_大通湖" xfId="246"/>
    <cellStyle name="好_附件2 益阳市市级国有资本经营预算表(4)" xfId="247"/>
    <cellStyle name="好_附件2 益阳市市级国有资本经营预算表(定稿)" xfId="248"/>
    <cellStyle name="好_长沙" xfId="249"/>
    <cellStyle name="汇总" xfId="250"/>
    <cellStyle name="Currency" xfId="251"/>
    <cellStyle name="Currency [0]" xfId="252"/>
    <cellStyle name="计算" xfId="253"/>
    <cellStyle name="检查单元格" xfId="254"/>
    <cellStyle name="解释性文本" xfId="255"/>
    <cellStyle name="警告文本" xfId="256"/>
    <cellStyle name="链接单元格" xfId="257"/>
    <cellStyle name="千位[0]_E22" xfId="258"/>
    <cellStyle name="千位_E22" xfId="259"/>
    <cellStyle name="Comma" xfId="260"/>
    <cellStyle name="千位分隔 2" xfId="261"/>
    <cellStyle name="千位分隔 3" xfId="262"/>
    <cellStyle name="千位分隔 4" xfId="263"/>
    <cellStyle name="Comma [0]" xfId="264"/>
    <cellStyle name="千位分隔[0] 2" xfId="265"/>
    <cellStyle name="千位分隔[0] 2 2" xfId="266"/>
    <cellStyle name="千位分隔[0] 3" xfId="267"/>
    <cellStyle name="千位分隔[0] 3 2" xfId="268"/>
    <cellStyle name="千位分隔[0] 4" xfId="269"/>
    <cellStyle name="强调文字颜色 1" xfId="270"/>
    <cellStyle name="强调文字颜色 2" xfId="271"/>
    <cellStyle name="强调文字颜色 3" xfId="272"/>
    <cellStyle name="强调文字颜色 4" xfId="273"/>
    <cellStyle name="强调文字颜色 5" xfId="274"/>
    <cellStyle name="强调文字颜色 6" xfId="275"/>
    <cellStyle name="适中" xfId="276"/>
    <cellStyle name="输出" xfId="277"/>
    <cellStyle name="输入" xfId="278"/>
    <cellStyle name="样式 1" xfId="279"/>
    <cellStyle name="Followed Hyperlink" xfId="280"/>
    <cellStyle name="注释" xfId="2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externalLink" Target="externalLinks/externalLink4.xml" /><Relationship Id="rId44" Type="http://schemas.openxmlformats.org/officeDocument/2006/relationships/externalLink" Target="externalLinks/externalLink5.xml" /><Relationship Id="rId45" Type="http://schemas.openxmlformats.org/officeDocument/2006/relationships/externalLink" Target="externalLinks/externalLink6.xml" /><Relationship Id="rId46" Type="http://schemas.openxmlformats.org/officeDocument/2006/relationships/externalLink" Target="externalLinks/externalLink7.xml" /><Relationship Id="rId47" Type="http://schemas.openxmlformats.org/officeDocument/2006/relationships/externalLink" Target="externalLinks/externalLink8.xml" /><Relationship Id="rId48" Type="http://schemas.openxmlformats.org/officeDocument/2006/relationships/externalLink" Target="externalLinks/externalLink9.xml" /><Relationship Id="rId49" Type="http://schemas.openxmlformats.org/officeDocument/2006/relationships/externalLink" Target="externalLinks/externalLink10.xml" /><Relationship Id="rId50" Type="http://schemas.openxmlformats.org/officeDocument/2006/relationships/externalLink" Target="externalLinks/externalLink11.xml" /><Relationship Id="rId51" Type="http://schemas.openxmlformats.org/officeDocument/2006/relationships/externalLink" Target="externalLinks/externalLink12.xml" /><Relationship Id="rId52" Type="http://schemas.openxmlformats.org/officeDocument/2006/relationships/externalLink" Target="externalLinks/externalLink13.xml" /><Relationship Id="rId53" Type="http://schemas.openxmlformats.org/officeDocument/2006/relationships/externalLink" Target="externalLinks/externalLink14.xml" /><Relationship Id="rId5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915;&#31639;\L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&#25991;&#20214;\2016&#24180;&#35843;&#25972;&#39044;&#31639;&#20154;&#22823;&#36130;&#32463;&#22996;&#27719;&#25253;10.11\2008&#24180;&#37096;&#38376;&#39044;&#31639;\&#25253;&#20154;&#22823;\&#19978;&#20154;&#20195;&#20250;&#34920;&#65288;01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&#25991;&#20214;\2016&#24180;&#35843;&#25972;&#39044;&#31639;&#20154;&#22823;&#36130;&#32463;&#22996;&#27719;&#25253;10.11\&#22823;&#36890;&#28246;&#21306;&#19982;&#39640;&#26032;&#21306;&#19978;&#25253;&#24773;&#20917;\2008&#24180;&#37096;&#38376;&#39044;&#31639;\&#25253;&#20154;&#22823;\&#19978;&#20154;&#20195;&#20250;&#34920;&#65288;01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26469;&#30340;D&#30424;\2011\2011&#39033;&#30446;&#39044;&#31639;\2008&#24180;&#37096;&#38376;&#39044;&#31639;\&#25253;&#20154;&#22823;\&#19978;&#20154;&#20195;&#20250;&#34920;&#65288;01&#6528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32479;&#35745;&#36164;&#26009;\&#39044;&#31639;&#20869;\&#25286;&#20998;&#25253;&#34920;\Book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20915;&#31639;\2011&#24180;&#39044;&#31639;&#25351;&#26631;&#24080;(12.1.19&#23450;&#31295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046;&#23548;&#27719;&#25253;\2016&#24180;&#36130;&#25919;&#24773;&#20917;&#27719;&#25253;&#24429;&#24066;&#38271;\&#24066;&#25919;&#24220;&#24120;&#21153;&#20250;&#35758;&#27719;&#25253;&#26448;&#26009;%20%20&#20851;&#20110;2016&#24180;&#24066;&#26412;&#32423;&#39044;&#31639;&#35843;&#25972;&#26041;&#26696;&#65288;&#33609;&#26696;&#65289;&#30340;&#27719;&#25253;%20&#36130;&#25919;&#23616;%202016&#24180;&#35843;&#25972;&#39044;&#31639;&#25968;&#25454;&#34920;(&#20154;&#22823;&#20027;&#20219;&#20250;&#65289;&#39029;11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4180;&#39044;&#31639;&#27719;&#24635;&#65288;1.8&#65289;\lfg\&#20154;&#22823;&#25253;&#21578;\&#25209;&#22797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fg\&#20154;&#22823;&#25253;&#21578;\&#25209;&#22797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&#31038;&#20250;&#20445;&#38505;&#22522;&#37329;&#39044;&#31639;\2016&#31038;&#20445;&#22522;&#37329;&#25191;&#34892;&#24773;&#20917;&#65288;&#20998;&#38505;&#31181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8047;&#28009;&#27874;2014.9.15\&#19978;&#21322;&#24180;&#39044;&#31639;&#25191;&#34892;&#24773;&#20917;\2014&#24180;&#19978;&#21322;&#24180;&#25191;&#34892;\&#38647;&#21147;Documents\&#25209;&#2279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&#25991;&#20214;\2016&#24180;&#35843;&#25972;&#39044;&#31639;&#20154;&#22823;&#36130;&#32463;&#22996;&#27719;&#25253;10.11\&#32479;&#35745;&#36164;&#26009;\&#39044;&#31639;&#20869;\&#25286;&#20998;&#25253;&#34920;\Book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9579;&#20219;&#21746;&#30340;&#25991;&#20214;\&#23457;&#26680;&#20013;&#24515;\&#39033;&#30446;&#39044;&#31639;\2013&#24180;\2008&#24180;&#37096;&#38376;&#39044;&#31639;\&#25253;&#20154;&#22823;\&#19978;&#20154;&#20195;&#20250;&#34920;&#65288;01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39044;&#31639;&#31649;&#29702;\2014&#24180;&#39044;&#31639;\&#24066;&#26412;&#32423;&#21333;&#20301;&#39044;&#31639;\&#38647;&#21147;Documents\&#25209;&#227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 refersTo="#REF!"/>
      <definedName name="BM8_SelectZBM.BM8_ZBMminusOption" refersTo="#REF!"/>
      <definedName name="BM8_SelectZBM.BM8_ZBMSumOption" refersTo="#REF!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收入情况表 (3)"/>
      <sheetName val="市委"/>
      <sheetName val="收支总表"/>
      <sheetName val="支出分类表1"/>
      <sheetName val="政研"/>
      <sheetName val="收支总表 (2)"/>
      <sheetName val="支出分类表1 (2)"/>
      <sheetName val="保密"/>
      <sheetName val="收支总表 (3)"/>
      <sheetName val="支出分类表1 (3)"/>
      <sheetName val="组织"/>
      <sheetName val="收支总表 (4)"/>
      <sheetName val="支出分类表1 (4)"/>
      <sheetName val="编委"/>
      <sheetName val="收支总表 (5)"/>
      <sheetName val="支出分类表1 (5)"/>
      <sheetName val="工委"/>
      <sheetName val="收支总表 (6)"/>
      <sheetName val="支出分类表1 (6)"/>
      <sheetName val="统战"/>
      <sheetName val="收支总表 (7)"/>
      <sheetName val="支出分类表1 (7)"/>
      <sheetName val="台办"/>
      <sheetName val="收支总表 (8)"/>
      <sheetName val="支出分类表1 (8)"/>
      <sheetName val="档案"/>
      <sheetName val="收支总表 (9)"/>
      <sheetName val="支出分类表1 (9)"/>
      <sheetName val="团委"/>
      <sheetName val="收支总表 (10)"/>
      <sheetName val="支出分类表1 (10)"/>
      <sheetName val="妇联"/>
      <sheetName val="收支总表 (11)"/>
      <sheetName val="支出分类表1 (11)"/>
      <sheetName val="宣传"/>
      <sheetName val="收支总表 (12)"/>
      <sheetName val="支出分类表1 (12)"/>
      <sheetName val="政法"/>
      <sheetName val="收支总表 (13)"/>
      <sheetName val="支出分类表1 (13)"/>
      <sheetName val="610"/>
      <sheetName val="收支总表 (14)"/>
      <sheetName val="支出分类表1 (14)"/>
      <sheetName val="党史"/>
      <sheetName val="收支总表 (15)"/>
      <sheetName val="支出分类表1 (15)"/>
      <sheetName val="社科联"/>
      <sheetName val="收支总表 (16)"/>
      <sheetName val="支出分类表1 (16)"/>
      <sheetName val="讲师团"/>
      <sheetName val="收支总表 (17)"/>
      <sheetName val="支出分类表1 (17)"/>
      <sheetName val="纪委"/>
      <sheetName val="收支总表 (18)"/>
      <sheetName val="支出分类表1 (18)"/>
      <sheetName val="人大"/>
      <sheetName val="收支总表 (19)"/>
      <sheetName val="支出分类表1 (19)"/>
      <sheetName val="政协"/>
      <sheetName val="收支总表 (20)"/>
      <sheetName val="支出分类表1 (20)"/>
      <sheetName val="工商联"/>
      <sheetName val="收支总表 (21)"/>
      <sheetName val="支出分类表1 (21)"/>
      <sheetName val="民主党派"/>
      <sheetName val="收支总表 (22)"/>
      <sheetName val="支出分类表1 (22)"/>
      <sheetName val="政府"/>
      <sheetName val="收支总表 (23)"/>
      <sheetName val="支出分类表1 (23)"/>
      <sheetName val="法制"/>
      <sheetName val="收支总表 (24)"/>
      <sheetName val="支出分类表1 (24)"/>
      <sheetName val="宗教"/>
      <sheetName val="收支总表 (25)"/>
      <sheetName val="支出分类表1 (25)"/>
      <sheetName val="信访"/>
      <sheetName val="收支总表 (26)"/>
      <sheetName val="支出分类表1 (26)"/>
      <sheetName val="地志"/>
      <sheetName val="收支总表 (27)"/>
      <sheetName val="支出分类表1 (27)"/>
      <sheetName val="北京"/>
      <sheetName val="收支总表 (28)"/>
      <sheetName val="支出分类表1 (28)"/>
      <sheetName val="长沙"/>
      <sheetName val="收支总表 (29)"/>
      <sheetName val="支出分类表1 (29)"/>
      <sheetName val="上海"/>
      <sheetName val="收支总表 (30)"/>
      <sheetName val="支出分类表1 (30)"/>
      <sheetName val="无委"/>
      <sheetName val="收支总表 (31)"/>
      <sheetName val="支出分类表1 (31)"/>
      <sheetName val="人防"/>
      <sheetName val="收支总表 (32)"/>
      <sheetName val="支出分类表1 (32)"/>
      <sheetName val="地震"/>
      <sheetName val="收支总表 (33)"/>
      <sheetName val="支出分类表1 (33)"/>
      <sheetName val="老干"/>
      <sheetName val="收支总表 (34)"/>
      <sheetName val="支出分类表1 (34)"/>
      <sheetName val="老干活动"/>
      <sheetName val="收支总表 (35)"/>
      <sheetName val="支出分类表1 (35)"/>
      <sheetName val="老干所"/>
      <sheetName val="收支总表 (36)"/>
      <sheetName val="支出分类表1 (36)"/>
      <sheetName val="人事"/>
      <sheetName val="收支总表 (37)"/>
      <sheetName val="支出分类表1 (37)"/>
      <sheetName val="财政"/>
      <sheetName val="收支总表 (38)"/>
      <sheetName val="支出分类表1 (38)"/>
      <sheetName val="会计"/>
      <sheetName val="收支总表 (39)"/>
      <sheetName val="支出分类表1 (39)"/>
      <sheetName val="农开办"/>
      <sheetName val="收支总表 (40)"/>
      <sheetName val="支出分类表1 (40)"/>
      <sheetName val="接待"/>
      <sheetName val="收支总表 (41)"/>
      <sheetName val="支出分类表1 (41)"/>
      <sheetName val="国资"/>
      <sheetName val="收支总表 (42)"/>
      <sheetName val="支出分类表1 (42)"/>
      <sheetName val="审计"/>
      <sheetName val="收支总表 (43)"/>
      <sheetName val="支出分类表1 (43)"/>
      <sheetName val="统计"/>
      <sheetName val="收支总表 (44)"/>
      <sheetName val="支出分类表1 (44)"/>
      <sheetName val="日报"/>
      <sheetName val="收支总表 (45)"/>
      <sheetName val="支出分类表1 (45)"/>
      <sheetName val="城信办"/>
      <sheetName val="收支总表 (46)"/>
      <sheetName val="支出分类表1 (46)"/>
      <sheetName val="科技"/>
      <sheetName val="收支总表 (47)"/>
      <sheetName val="支出分类表1 (47)"/>
      <sheetName val="科协"/>
      <sheetName val="收支总表 (48)"/>
      <sheetName val="支出分类表1 (48)"/>
      <sheetName val="党校"/>
      <sheetName val="收支总表 (49)"/>
      <sheetName val="支出分类表1 (49)"/>
      <sheetName val="文联"/>
      <sheetName val="收支总表 (50)"/>
      <sheetName val="支出分类表1 (50)"/>
      <sheetName val="文化"/>
      <sheetName val="收支总表 (51)"/>
      <sheetName val="支出分类表1 (51)"/>
      <sheetName val="计生"/>
      <sheetName val="收支总表 (52)"/>
      <sheetName val="支出分类表1 (52)"/>
      <sheetName val="体育"/>
      <sheetName val="收支总表 (53)"/>
      <sheetName val="支出分类表1 (53)"/>
      <sheetName val="广播"/>
      <sheetName val="收支总表 (54)"/>
      <sheetName val="支出分类表1 (54)"/>
      <sheetName val="教育"/>
      <sheetName val="收支总表 (55)"/>
      <sheetName val="支出分类表1 (55)"/>
      <sheetName val="商校"/>
      <sheetName val="收支总表 (56)"/>
      <sheetName val="支出分类表1 (56)"/>
      <sheetName val="高职院"/>
      <sheetName val="收支总表 (57)"/>
      <sheetName val="支出分类表1 (57)"/>
      <sheetName val="检察"/>
      <sheetName val="收支总表 (58)"/>
      <sheetName val="支出分类表1 (58)"/>
      <sheetName val="法院"/>
      <sheetName val="收支总表 (59)"/>
      <sheetName val="支出分类表1 (59)"/>
      <sheetName val="公安"/>
      <sheetName val="收支总表 (60)"/>
      <sheetName val="支出分类表1 (60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收入情况表 (3)"/>
      <sheetName val="市委"/>
      <sheetName val="收支总表"/>
      <sheetName val="支出分类表1"/>
      <sheetName val="政研"/>
      <sheetName val="收支总表 (2)"/>
      <sheetName val="支出分类表1 (2)"/>
      <sheetName val="保密"/>
      <sheetName val="收支总表 (3)"/>
      <sheetName val="支出分类表1 (3)"/>
      <sheetName val="组织"/>
      <sheetName val="收支总表 (4)"/>
      <sheetName val="支出分类表1 (4)"/>
      <sheetName val="编委"/>
      <sheetName val="收支总表 (5)"/>
      <sheetName val="支出分类表1 (5)"/>
      <sheetName val="工委"/>
      <sheetName val="收支总表 (6)"/>
      <sheetName val="支出分类表1 (6)"/>
      <sheetName val="统战"/>
      <sheetName val="收支总表 (7)"/>
      <sheetName val="支出分类表1 (7)"/>
      <sheetName val="台办"/>
      <sheetName val="收支总表 (8)"/>
      <sheetName val="支出分类表1 (8)"/>
      <sheetName val="档案"/>
      <sheetName val="收支总表 (9)"/>
      <sheetName val="支出分类表1 (9)"/>
      <sheetName val="团委"/>
      <sheetName val="收支总表 (10)"/>
      <sheetName val="支出分类表1 (10)"/>
      <sheetName val="妇联"/>
      <sheetName val="收支总表 (11)"/>
      <sheetName val="支出分类表1 (11)"/>
      <sheetName val="宣传"/>
      <sheetName val="收支总表 (12)"/>
      <sheetName val="支出分类表1 (12)"/>
      <sheetName val="政法"/>
      <sheetName val="收支总表 (13)"/>
      <sheetName val="支出分类表1 (13)"/>
      <sheetName val="610"/>
      <sheetName val="收支总表 (14)"/>
      <sheetName val="支出分类表1 (14)"/>
      <sheetName val="党史"/>
      <sheetName val="收支总表 (15)"/>
      <sheetName val="支出分类表1 (15)"/>
      <sheetName val="社科联"/>
      <sheetName val="收支总表 (16)"/>
      <sheetName val="支出分类表1 (16)"/>
      <sheetName val="讲师团"/>
      <sheetName val="收支总表 (17)"/>
      <sheetName val="支出分类表1 (17)"/>
      <sheetName val="纪委"/>
      <sheetName val="收支总表 (18)"/>
      <sheetName val="支出分类表1 (18)"/>
      <sheetName val="人大"/>
      <sheetName val="收支总表 (19)"/>
      <sheetName val="支出分类表1 (19)"/>
      <sheetName val="政协"/>
      <sheetName val="收支总表 (20)"/>
      <sheetName val="支出分类表1 (20)"/>
      <sheetName val="工商联"/>
      <sheetName val="收支总表 (21)"/>
      <sheetName val="支出分类表1 (21)"/>
      <sheetName val="民主党派"/>
      <sheetName val="收支总表 (22)"/>
      <sheetName val="支出分类表1 (22)"/>
      <sheetName val="政府"/>
      <sheetName val="收支总表 (23)"/>
      <sheetName val="支出分类表1 (23)"/>
      <sheetName val="法制"/>
      <sheetName val="收支总表 (24)"/>
      <sheetName val="支出分类表1 (24)"/>
      <sheetName val="宗教"/>
      <sheetName val="收支总表 (25)"/>
      <sheetName val="支出分类表1 (25)"/>
      <sheetName val="信访"/>
      <sheetName val="收支总表 (26)"/>
      <sheetName val="支出分类表1 (26)"/>
      <sheetName val="地志"/>
      <sheetName val="收支总表 (27)"/>
      <sheetName val="支出分类表1 (27)"/>
      <sheetName val="北京"/>
      <sheetName val="收支总表 (28)"/>
      <sheetName val="支出分类表1 (28)"/>
      <sheetName val="长沙"/>
      <sheetName val="收支总表 (29)"/>
      <sheetName val="支出分类表1 (29)"/>
      <sheetName val="上海"/>
      <sheetName val="收支总表 (30)"/>
      <sheetName val="支出分类表1 (30)"/>
      <sheetName val="无委"/>
      <sheetName val="收支总表 (31)"/>
      <sheetName val="支出分类表1 (31)"/>
      <sheetName val="人防"/>
      <sheetName val="收支总表 (32)"/>
      <sheetName val="支出分类表1 (32)"/>
      <sheetName val="地震"/>
      <sheetName val="收支总表 (33)"/>
      <sheetName val="支出分类表1 (33)"/>
      <sheetName val="老干"/>
      <sheetName val="收支总表 (34)"/>
      <sheetName val="支出分类表1 (34)"/>
      <sheetName val="老干活动"/>
      <sheetName val="收支总表 (35)"/>
      <sheetName val="支出分类表1 (35)"/>
      <sheetName val="老干所"/>
      <sheetName val="收支总表 (36)"/>
      <sheetName val="支出分类表1 (36)"/>
      <sheetName val="人事"/>
      <sheetName val="收支总表 (37)"/>
      <sheetName val="支出分类表1 (37)"/>
      <sheetName val="财政"/>
      <sheetName val="收支总表 (38)"/>
      <sheetName val="支出分类表1 (38)"/>
      <sheetName val="会计"/>
      <sheetName val="收支总表 (39)"/>
      <sheetName val="支出分类表1 (39)"/>
      <sheetName val="农开办"/>
      <sheetName val="收支总表 (40)"/>
      <sheetName val="支出分类表1 (40)"/>
      <sheetName val="接待"/>
      <sheetName val="收支总表 (41)"/>
      <sheetName val="支出分类表1 (41)"/>
      <sheetName val="国资"/>
      <sheetName val="收支总表 (42)"/>
      <sheetName val="支出分类表1 (42)"/>
      <sheetName val="审计"/>
      <sheetName val="收支总表 (43)"/>
      <sheetName val="支出分类表1 (43)"/>
      <sheetName val="统计"/>
      <sheetName val="收支总表 (44)"/>
      <sheetName val="支出分类表1 (44)"/>
      <sheetName val="日报"/>
      <sheetName val="收支总表 (45)"/>
      <sheetName val="支出分类表1 (45)"/>
      <sheetName val="城信办"/>
      <sheetName val="收支总表 (46)"/>
      <sheetName val="支出分类表1 (46)"/>
      <sheetName val="科技"/>
      <sheetName val="收支总表 (47)"/>
      <sheetName val="支出分类表1 (47)"/>
      <sheetName val="科协"/>
      <sheetName val="收支总表 (48)"/>
      <sheetName val="支出分类表1 (48)"/>
      <sheetName val="党校"/>
      <sheetName val="收支总表 (49)"/>
      <sheetName val="支出分类表1 (49)"/>
      <sheetName val="文联"/>
      <sheetName val="收支总表 (50)"/>
      <sheetName val="支出分类表1 (50)"/>
      <sheetName val="文化"/>
      <sheetName val="收支总表 (51)"/>
      <sheetName val="支出分类表1 (51)"/>
      <sheetName val="计生"/>
      <sheetName val="收支总表 (52)"/>
      <sheetName val="支出分类表1 (52)"/>
      <sheetName val="体育"/>
      <sheetName val="收支总表 (53)"/>
      <sheetName val="支出分类表1 (53)"/>
      <sheetName val="广播"/>
      <sheetName val="收支总表 (54)"/>
      <sheetName val="支出分类表1 (54)"/>
      <sheetName val="教育"/>
      <sheetName val="收支总表 (55)"/>
      <sheetName val="支出分类表1 (55)"/>
      <sheetName val="商校"/>
      <sheetName val="收支总表 (56)"/>
      <sheetName val="支出分类表1 (56)"/>
      <sheetName val="高职院"/>
      <sheetName val="收支总表 (57)"/>
      <sheetName val="支出分类表1 (57)"/>
      <sheetName val="检察"/>
      <sheetName val="收支总表 (58)"/>
      <sheetName val="支出分类表1 (58)"/>
      <sheetName val="法院"/>
      <sheetName val="收支总表 (59)"/>
      <sheetName val="支出分类表1 (59)"/>
      <sheetName val="公安"/>
      <sheetName val="收支总表 (60)"/>
      <sheetName val="支出分类表1 (60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收入情况表 (3)"/>
      <sheetName val="市委"/>
      <sheetName val="收支总表"/>
      <sheetName val="支出分类表1"/>
      <sheetName val="政研"/>
      <sheetName val="收支总表 (2)"/>
      <sheetName val="支出分类表1 (2)"/>
      <sheetName val="保密"/>
      <sheetName val="收支总表 (3)"/>
      <sheetName val="支出分类表1 (3)"/>
      <sheetName val="组织"/>
      <sheetName val="收支总表 (4)"/>
      <sheetName val="支出分类表1 (4)"/>
      <sheetName val="编委"/>
      <sheetName val="收支总表 (5)"/>
      <sheetName val="支出分类表1 (5)"/>
      <sheetName val="工委"/>
      <sheetName val="收支总表 (6)"/>
      <sheetName val="支出分类表1 (6)"/>
      <sheetName val="统战"/>
      <sheetName val="收支总表 (7)"/>
      <sheetName val="支出分类表1 (7)"/>
      <sheetName val="台办"/>
      <sheetName val="收支总表 (8)"/>
      <sheetName val="支出分类表1 (8)"/>
      <sheetName val="档案"/>
      <sheetName val="收支总表 (9)"/>
      <sheetName val="支出分类表1 (9)"/>
      <sheetName val="团委"/>
      <sheetName val="收支总表 (10)"/>
      <sheetName val="支出分类表1 (10)"/>
      <sheetName val="妇联"/>
      <sheetName val="收支总表 (11)"/>
      <sheetName val="支出分类表1 (11)"/>
      <sheetName val="宣传"/>
      <sheetName val="收支总表 (12)"/>
      <sheetName val="支出分类表1 (12)"/>
      <sheetName val="政法"/>
      <sheetName val="收支总表 (13)"/>
      <sheetName val="支出分类表1 (13)"/>
      <sheetName val="610"/>
      <sheetName val="收支总表 (14)"/>
      <sheetName val="支出分类表1 (14)"/>
      <sheetName val="党史"/>
      <sheetName val="收支总表 (15)"/>
      <sheetName val="支出分类表1 (15)"/>
      <sheetName val="社科联"/>
      <sheetName val="收支总表 (16)"/>
      <sheetName val="支出分类表1 (16)"/>
      <sheetName val="讲师团"/>
      <sheetName val="收支总表 (17)"/>
      <sheetName val="支出分类表1 (17)"/>
      <sheetName val="纪委"/>
      <sheetName val="收支总表 (18)"/>
      <sheetName val="支出分类表1 (18)"/>
      <sheetName val="人大"/>
      <sheetName val="收支总表 (19)"/>
      <sheetName val="支出分类表1 (19)"/>
      <sheetName val="政协"/>
      <sheetName val="收支总表 (20)"/>
      <sheetName val="支出分类表1 (20)"/>
      <sheetName val="工商联"/>
      <sheetName val="收支总表 (21)"/>
      <sheetName val="支出分类表1 (21)"/>
      <sheetName val="民主党派"/>
      <sheetName val="收支总表 (22)"/>
      <sheetName val="支出分类表1 (22)"/>
      <sheetName val="政府"/>
      <sheetName val="收支总表 (23)"/>
      <sheetName val="支出分类表1 (23)"/>
      <sheetName val="法制"/>
      <sheetName val="收支总表 (24)"/>
      <sheetName val="支出分类表1 (24)"/>
      <sheetName val="宗教"/>
      <sheetName val="收支总表 (25)"/>
      <sheetName val="支出分类表1 (25)"/>
      <sheetName val="信访"/>
      <sheetName val="收支总表 (26)"/>
      <sheetName val="支出分类表1 (26)"/>
      <sheetName val="地志"/>
      <sheetName val="收支总表 (27)"/>
      <sheetName val="支出分类表1 (27)"/>
      <sheetName val="北京"/>
      <sheetName val="收支总表 (28)"/>
      <sheetName val="支出分类表1 (28)"/>
      <sheetName val="长沙"/>
      <sheetName val="收支总表 (29)"/>
      <sheetName val="支出分类表1 (29)"/>
      <sheetName val="上海"/>
      <sheetName val="收支总表 (30)"/>
      <sheetName val="支出分类表1 (30)"/>
      <sheetName val="无委"/>
      <sheetName val="收支总表 (31)"/>
      <sheetName val="支出分类表1 (31)"/>
      <sheetName val="人防"/>
      <sheetName val="收支总表 (32)"/>
      <sheetName val="支出分类表1 (32)"/>
      <sheetName val="地震"/>
      <sheetName val="收支总表 (33)"/>
      <sheetName val="支出分类表1 (33)"/>
      <sheetName val="老干"/>
      <sheetName val="收支总表 (34)"/>
      <sheetName val="支出分类表1 (34)"/>
      <sheetName val="老干活动"/>
      <sheetName val="收支总表 (35)"/>
      <sheetName val="支出分类表1 (35)"/>
      <sheetName val="老干所"/>
      <sheetName val="收支总表 (36)"/>
      <sheetName val="支出分类表1 (36)"/>
      <sheetName val="人事"/>
      <sheetName val="收支总表 (37)"/>
      <sheetName val="支出分类表1 (37)"/>
      <sheetName val="财政"/>
      <sheetName val="收支总表 (38)"/>
      <sheetName val="支出分类表1 (38)"/>
      <sheetName val="会计"/>
      <sheetName val="收支总表 (39)"/>
      <sheetName val="支出分类表1 (39)"/>
      <sheetName val="农开办"/>
      <sheetName val="收支总表 (40)"/>
      <sheetName val="支出分类表1 (40)"/>
      <sheetName val="接待"/>
      <sheetName val="收支总表 (41)"/>
      <sheetName val="支出分类表1 (41)"/>
      <sheetName val="国资"/>
      <sheetName val="收支总表 (42)"/>
      <sheetName val="支出分类表1 (42)"/>
      <sheetName val="审计"/>
      <sheetName val="收支总表 (43)"/>
      <sheetName val="支出分类表1 (43)"/>
      <sheetName val="统计"/>
      <sheetName val="收支总表 (44)"/>
      <sheetName val="支出分类表1 (44)"/>
      <sheetName val="日报"/>
      <sheetName val="收支总表 (45)"/>
      <sheetName val="支出分类表1 (45)"/>
      <sheetName val="城信办"/>
      <sheetName val="收支总表 (46)"/>
      <sheetName val="支出分类表1 (46)"/>
      <sheetName val="科技"/>
      <sheetName val="收支总表 (47)"/>
      <sheetName val="支出分类表1 (47)"/>
      <sheetName val="科协"/>
      <sheetName val="收支总表 (48)"/>
      <sheetName val="支出分类表1 (48)"/>
      <sheetName val="党校"/>
      <sheetName val="收支总表 (49)"/>
      <sheetName val="支出分类表1 (49)"/>
      <sheetName val="文联"/>
      <sheetName val="收支总表 (50)"/>
      <sheetName val="支出分类表1 (50)"/>
      <sheetName val="文化"/>
      <sheetName val="收支总表 (51)"/>
      <sheetName val="支出分类表1 (51)"/>
      <sheetName val="计生"/>
      <sheetName val="收支总表 (52)"/>
      <sheetName val="支出分类表1 (52)"/>
      <sheetName val="体育"/>
      <sheetName val="收支总表 (53)"/>
      <sheetName val="支出分类表1 (53)"/>
      <sheetName val="广播"/>
      <sheetName val="收支总表 (54)"/>
      <sheetName val="支出分类表1 (54)"/>
      <sheetName val="教育"/>
      <sheetName val="收支总表 (55)"/>
      <sheetName val="支出分类表1 (55)"/>
      <sheetName val="商校"/>
      <sheetName val="收支总表 (56)"/>
      <sheetName val="支出分类表1 (56)"/>
      <sheetName val="高职院"/>
      <sheetName val="收支总表 (57)"/>
      <sheetName val="支出分类表1 (57)"/>
      <sheetName val="检察"/>
      <sheetName val="收支总表 (58)"/>
      <sheetName val="支出分类表1 (58)"/>
      <sheetName val="法院"/>
      <sheetName val="收支总表 (59)"/>
      <sheetName val="支出分类表1 (59)"/>
      <sheetName val="公安"/>
      <sheetName val="收支总表 (60)"/>
      <sheetName val="支出分类表1 (60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2016县市债券收入分配 "/>
      <sheetName val="本级公共财力及支出（新增财力安排支出)"/>
      <sheetName val="本级公共财力及支出(收回存量资金安排项目)10.14中午"/>
      <sheetName val="本级一般公共预算支出科目"/>
      <sheetName val="本级基金收入"/>
      <sheetName val="本级基金支出"/>
      <sheetName val="高新区一般预算支出"/>
      <sheetName val="高新基金收入"/>
      <sheetName val="高新基金支出"/>
      <sheetName val="大通湖区一般预算支出"/>
      <sheetName val="大通湖区基金收入"/>
      <sheetName val="大通湖基金支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沅江1"/>
      <sheetName val="沅江2"/>
      <sheetName val="沅江3"/>
      <sheetName val="南县1"/>
      <sheetName val="南县2"/>
      <sheetName val="南县3"/>
      <sheetName val="桃江1"/>
      <sheetName val="桃江2"/>
      <sheetName val="桃江3"/>
      <sheetName val="安化1"/>
      <sheetName val="安化2"/>
      <sheetName val="安化3"/>
      <sheetName val="资阳1"/>
      <sheetName val="资阳2"/>
      <sheetName val="资阳3"/>
      <sheetName val="赫山1"/>
      <sheetName val="赫山2"/>
      <sheetName val="赫山3"/>
      <sheetName val="朝阳1"/>
      <sheetName val="朝阳2"/>
      <sheetName val="朝阳3"/>
      <sheetName val="大通湖1"/>
      <sheetName val="大通湖2"/>
      <sheetName val="大通湖3"/>
      <sheetName val="往来结算"/>
      <sheetName val="市与县结算"/>
      <sheetName val="市与县结算 (2)"/>
      <sheetName val="补充-3"/>
      <sheetName val="合计线下"/>
      <sheetName val="补充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沅江1"/>
      <sheetName val="沅江2"/>
      <sheetName val="沅江3"/>
      <sheetName val="南县1"/>
      <sheetName val="南县2"/>
      <sheetName val="南县3"/>
      <sheetName val="桃江1"/>
      <sheetName val="桃江2"/>
      <sheetName val="桃江3"/>
      <sheetName val="安化1"/>
      <sheetName val="安化2"/>
      <sheetName val="安化3"/>
      <sheetName val="资阳1"/>
      <sheetName val="资阳2"/>
      <sheetName val="资阳3"/>
      <sheetName val="赫山1"/>
      <sheetName val="赫山2"/>
      <sheetName val="赫山3"/>
      <sheetName val="朝阳1"/>
      <sheetName val="朝阳2"/>
      <sheetName val="朝阳3"/>
      <sheetName val="大通湖1"/>
      <sheetName val="大通湖2"/>
      <sheetName val="大通湖3"/>
      <sheetName val="往来结算"/>
      <sheetName val="市与县结算"/>
      <sheetName val="市与县结算 (2)"/>
      <sheetName val="补充-3"/>
      <sheetName val="合计线下"/>
      <sheetName val="补充-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社保执行总表"/>
      <sheetName val="企业养老保险"/>
      <sheetName val="机关事业养老保险"/>
      <sheetName val="失业保险"/>
      <sheetName val="职工医保"/>
      <sheetName val="工伤保险"/>
      <sheetName val="生育保险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沅江1"/>
      <sheetName val="沅江2"/>
      <sheetName val="沅江3"/>
      <sheetName val="南县1"/>
      <sheetName val="南县2"/>
      <sheetName val="南县3"/>
      <sheetName val="桃江1"/>
      <sheetName val="桃江2"/>
      <sheetName val="桃江3"/>
      <sheetName val="安化1"/>
      <sheetName val="安化2"/>
      <sheetName val="安化3"/>
      <sheetName val="资阳1"/>
      <sheetName val="资阳2"/>
      <sheetName val="资阳3"/>
      <sheetName val="赫山1"/>
      <sheetName val="赫山2"/>
      <sheetName val="赫山3"/>
      <sheetName val="朝阳1"/>
      <sheetName val="朝阳2"/>
      <sheetName val="朝阳3"/>
      <sheetName val="大通湖1"/>
      <sheetName val="大通湖2"/>
      <sheetName val="大通湖3"/>
      <sheetName val="往来结算"/>
      <sheetName val="市与县结算"/>
      <sheetName val="市与县结算 (2)"/>
      <sheetName val="补充-3"/>
      <sheetName val="合计线下"/>
      <sheetName val="补充-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收入情况表 (3)"/>
      <sheetName val="市委"/>
      <sheetName val="收支总表"/>
      <sheetName val="支出分类表1"/>
      <sheetName val="政研"/>
      <sheetName val="收支总表 (2)"/>
      <sheetName val="支出分类表1 (2)"/>
      <sheetName val="保密"/>
      <sheetName val="收支总表 (3)"/>
      <sheetName val="支出分类表1 (3)"/>
      <sheetName val="组织"/>
      <sheetName val="收支总表 (4)"/>
      <sheetName val="支出分类表1 (4)"/>
      <sheetName val="编委"/>
      <sheetName val="收支总表 (5)"/>
      <sheetName val="支出分类表1 (5)"/>
      <sheetName val="工委"/>
      <sheetName val="收支总表 (6)"/>
      <sheetName val="支出分类表1 (6)"/>
      <sheetName val="统战"/>
      <sheetName val="收支总表 (7)"/>
      <sheetName val="支出分类表1 (7)"/>
      <sheetName val="台办"/>
      <sheetName val="收支总表 (8)"/>
      <sheetName val="支出分类表1 (8)"/>
      <sheetName val="档案"/>
      <sheetName val="收支总表 (9)"/>
      <sheetName val="支出分类表1 (9)"/>
      <sheetName val="团委"/>
      <sheetName val="收支总表 (10)"/>
      <sheetName val="支出分类表1 (10)"/>
      <sheetName val="妇联"/>
      <sheetName val="收支总表 (11)"/>
      <sheetName val="支出分类表1 (11)"/>
      <sheetName val="宣传"/>
      <sheetName val="收支总表 (12)"/>
      <sheetName val="支出分类表1 (12)"/>
      <sheetName val="政法"/>
      <sheetName val="收支总表 (13)"/>
      <sheetName val="支出分类表1 (13)"/>
      <sheetName val="610"/>
      <sheetName val="收支总表 (14)"/>
      <sheetName val="支出分类表1 (14)"/>
      <sheetName val="党史"/>
      <sheetName val="收支总表 (15)"/>
      <sheetName val="支出分类表1 (15)"/>
      <sheetName val="社科联"/>
      <sheetName val="收支总表 (16)"/>
      <sheetName val="支出分类表1 (16)"/>
      <sheetName val="讲师团"/>
      <sheetName val="收支总表 (17)"/>
      <sheetName val="支出分类表1 (17)"/>
      <sheetName val="纪委"/>
      <sheetName val="收支总表 (18)"/>
      <sheetName val="支出分类表1 (18)"/>
      <sheetName val="人大"/>
      <sheetName val="收支总表 (19)"/>
      <sheetName val="支出分类表1 (19)"/>
      <sheetName val="政协"/>
      <sheetName val="收支总表 (20)"/>
      <sheetName val="支出分类表1 (20)"/>
      <sheetName val="工商联"/>
      <sheetName val="收支总表 (21)"/>
      <sheetName val="支出分类表1 (21)"/>
      <sheetName val="民主党派"/>
      <sheetName val="收支总表 (22)"/>
      <sheetName val="支出分类表1 (22)"/>
      <sheetName val="政府"/>
      <sheetName val="收支总表 (23)"/>
      <sheetName val="支出分类表1 (23)"/>
      <sheetName val="法制"/>
      <sheetName val="收支总表 (24)"/>
      <sheetName val="支出分类表1 (24)"/>
      <sheetName val="宗教"/>
      <sheetName val="收支总表 (25)"/>
      <sheetName val="支出分类表1 (25)"/>
      <sheetName val="信访"/>
      <sheetName val="收支总表 (26)"/>
      <sheetName val="支出分类表1 (26)"/>
      <sheetName val="地志"/>
      <sheetName val="收支总表 (27)"/>
      <sheetName val="支出分类表1 (27)"/>
      <sheetName val="北京"/>
      <sheetName val="收支总表 (28)"/>
      <sheetName val="支出分类表1 (28)"/>
      <sheetName val="长沙"/>
      <sheetName val="收支总表 (29)"/>
      <sheetName val="支出分类表1 (29)"/>
      <sheetName val="上海"/>
      <sheetName val="收支总表 (30)"/>
      <sheetName val="支出分类表1 (30)"/>
      <sheetName val="无委"/>
      <sheetName val="收支总表 (31)"/>
      <sheetName val="支出分类表1 (31)"/>
      <sheetName val="人防"/>
      <sheetName val="收支总表 (32)"/>
      <sheetName val="支出分类表1 (32)"/>
      <sheetName val="地震"/>
      <sheetName val="收支总表 (33)"/>
      <sheetName val="支出分类表1 (33)"/>
      <sheetName val="老干"/>
      <sheetName val="收支总表 (34)"/>
      <sheetName val="支出分类表1 (34)"/>
      <sheetName val="老干活动"/>
      <sheetName val="收支总表 (35)"/>
      <sheetName val="支出分类表1 (35)"/>
      <sheetName val="老干所"/>
      <sheetName val="收支总表 (36)"/>
      <sheetName val="支出分类表1 (36)"/>
      <sheetName val="人事"/>
      <sheetName val="收支总表 (37)"/>
      <sheetName val="支出分类表1 (37)"/>
      <sheetName val="财政"/>
      <sheetName val="收支总表 (38)"/>
      <sheetName val="支出分类表1 (38)"/>
      <sheetName val="会计"/>
      <sheetName val="收支总表 (39)"/>
      <sheetName val="支出分类表1 (39)"/>
      <sheetName val="农开办"/>
      <sheetName val="收支总表 (40)"/>
      <sheetName val="支出分类表1 (40)"/>
      <sheetName val="接待"/>
      <sheetName val="收支总表 (41)"/>
      <sheetName val="支出分类表1 (41)"/>
      <sheetName val="国资"/>
      <sheetName val="收支总表 (42)"/>
      <sheetName val="支出分类表1 (42)"/>
      <sheetName val="审计"/>
      <sheetName val="收支总表 (43)"/>
      <sheetName val="支出分类表1 (43)"/>
      <sheetName val="统计"/>
      <sheetName val="收支总表 (44)"/>
      <sheetName val="支出分类表1 (44)"/>
      <sheetName val="日报"/>
      <sheetName val="收支总表 (45)"/>
      <sheetName val="支出分类表1 (45)"/>
      <sheetName val="城信办"/>
      <sheetName val="收支总表 (46)"/>
      <sheetName val="支出分类表1 (46)"/>
      <sheetName val="科技"/>
      <sheetName val="收支总表 (47)"/>
      <sheetName val="支出分类表1 (47)"/>
      <sheetName val="科协"/>
      <sheetName val="收支总表 (48)"/>
      <sheetName val="支出分类表1 (48)"/>
      <sheetName val="党校"/>
      <sheetName val="收支总表 (49)"/>
      <sheetName val="支出分类表1 (49)"/>
      <sheetName val="文联"/>
      <sheetName val="收支总表 (50)"/>
      <sheetName val="支出分类表1 (50)"/>
      <sheetName val="文化"/>
      <sheetName val="收支总表 (51)"/>
      <sheetName val="支出分类表1 (51)"/>
      <sheetName val="计生"/>
      <sheetName val="收支总表 (52)"/>
      <sheetName val="支出分类表1 (52)"/>
      <sheetName val="体育"/>
      <sheetName val="收支总表 (53)"/>
      <sheetName val="支出分类表1 (53)"/>
      <sheetName val="广播"/>
      <sheetName val="收支总表 (54)"/>
      <sheetName val="支出分类表1 (54)"/>
      <sheetName val="教育"/>
      <sheetName val="收支总表 (55)"/>
      <sheetName val="支出分类表1 (55)"/>
      <sheetName val="商校"/>
      <sheetName val="收支总表 (56)"/>
      <sheetName val="支出分类表1 (56)"/>
      <sheetName val="高职院"/>
      <sheetName val="收支总表 (57)"/>
      <sheetName val="支出分类表1 (57)"/>
      <sheetName val="检察"/>
      <sheetName val="收支总表 (58)"/>
      <sheetName val="支出分类表1 (58)"/>
      <sheetName val="法院"/>
      <sheetName val="收支总表 (59)"/>
      <sheetName val="支出分类表1 (59)"/>
      <sheetName val="公安"/>
      <sheetName val="收支总表 (60)"/>
      <sheetName val="支出分类表1 (60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沅江1"/>
      <sheetName val="沅江2"/>
      <sheetName val="沅江3"/>
      <sheetName val="南县1"/>
      <sheetName val="南县2"/>
      <sheetName val="南县3"/>
      <sheetName val="桃江1"/>
      <sheetName val="桃江2"/>
      <sheetName val="桃江3"/>
      <sheetName val="安化1"/>
      <sheetName val="安化2"/>
      <sheetName val="安化3"/>
      <sheetName val="资阳1"/>
      <sheetName val="资阳2"/>
      <sheetName val="资阳3"/>
      <sheetName val="赫山1"/>
      <sheetName val="赫山2"/>
      <sheetName val="赫山3"/>
      <sheetName val="朝阳1"/>
      <sheetName val="朝阳2"/>
      <sheetName val="朝阳3"/>
      <sheetName val="大通湖1"/>
      <sheetName val="大通湖2"/>
      <sheetName val="大通湖3"/>
      <sheetName val="往来结算"/>
      <sheetName val="市与县结算"/>
      <sheetName val="市与县结算 (2)"/>
      <sheetName val="补充-3"/>
      <sheetName val="合计线下"/>
      <sheetName val="补充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7" sqref="R17"/>
    </sheetView>
  </sheetViews>
  <sheetFormatPr defaultColWidth="9.00390625" defaultRowHeight="14.25"/>
  <cols>
    <col min="1" max="1" width="27.00390625" style="417" customWidth="1"/>
    <col min="2" max="3" width="11.125" style="417" customWidth="1"/>
    <col min="4" max="4" width="10.75390625" style="417" customWidth="1"/>
    <col min="5" max="5" width="10.25390625" style="417" hidden="1" customWidth="1"/>
    <col min="6" max="6" width="11.50390625" style="417" customWidth="1"/>
    <col min="7" max="8" width="9.00390625" style="417" customWidth="1"/>
    <col min="9" max="15" width="9.00390625" style="417" hidden="1" customWidth="1"/>
    <col min="16" max="16384" width="9.00390625" style="417" customWidth="1"/>
  </cols>
  <sheetData>
    <row r="1" spans="1:6" s="416" customFormat="1" ht="36" customHeight="1">
      <c r="A1" s="451" t="s">
        <v>0</v>
      </c>
      <c r="B1" s="452"/>
      <c r="C1" s="135"/>
      <c r="D1" s="135"/>
      <c r="E1" s="135"/>
      <c r="F1" s="135"/>
    </row>
    <row r="2" spans="1:6" ht="26.25" customHeight="1">
      <c r="A2" s="111"/>
      <c r="B2" s="111"/>
      <c r="C2" s="111"/>
      <c r="D2" s="111"/>
      <c r="E2" s="111"/>
      <c r="F2" s="142" t="s">
        <v>1</v>
      </c>
    </row>
    <row r="3" spans="1:6" ht="29.25" customHeight="1">
      <c r="A3" s="393" t="s">
        <v>2</v>
      </c>
      <c r="B3" s="394" t="s">
        <v>3</v>
      </c>
      <c r="C3" s="394" t="s">
        <v>4</v>
      </c>
      <c r="D3" s="394" t="s">
        <v>5</v>
      </c>
      <c r="E3" s="254" t="s">
        <v>6</v>
      </c>
      <c r="F3" s="430" t="s">
        <v>7</v>
      </c>
    </row>
    <row r="4" spans="1:6" ht="14.25" customHeight="1">
      <c r="A4" s="165" t="s">
        <v>8</v>
      </c>
      <c r="B4" s="393">
        <f>SUM(B5:B19)</f>
        <v>427023</v>
      </c>
      <c r="C4" s="393">
        <f>SUM(C5:C19)</f>
        <v>395132</v>
      </c>
      <c r="D4" s="438">
        <f>C4/B4*100</f>
        <v>92.53178400226686</v>
      </c>
      <c r="E4" s="393">
        <f>SUM(E5:E19)</f>
        <v>392478</v>
      </c>
      <c r="F4" s="431">
        <f>+(C4-E4)/E4*100</f>
        <v>0.6762162465157283</v>
      </c>
    </row>
    <row r="5" spans="1:14" ht="14.25" customHeight="1">
      <c r="A5" s="165" t="s">
        <v>9</v>
      </c>
      <c r="B5" s="393">
        <v>73610</v>
      </c>
      <c r="C5" s="393">
        <v>104661</v>
      </c>
      <c r="D5" s="438">
        <f aca="true" t="shared" si="0" ref="D5:D40">C5/B5*100</f>
        <v>142.18312729248743</v>
      </c>
      <c r="E5" s="393">
        <v>49508</v>
      </c>
      <c r="F5" s="431">
        <f aca="true" t="shared" si="1" ref="F5:F40">+(C5-E5)/E5*100</f>
        <v>111.40219762462633</v>
      </c>
      <c r="I5" s="417">
        <f>49508-10028</f>
        <v>39480</v>
      </c>
      <c r="J5" s="417">
        <f>+I5/0.1875</f>
        <v>210560</v>
      </c>
      <c r="M5" s="417">
        <v>47784</v>
      </c>
      <c r="N5" s="417">
        <v>29056</v>
      </c>
    </row>
    <row r="6" spans="1:10" ht="14.25" customHeight="1">
      <c r="A6" s="165" t="s">
        <v>10</v>
      </c>
      <c r="B6" s="393">
        <v>105170</v>
      </c>
      <c r="C6" s="393">
        <v>54503</v>
      </c>
      <c r="D6" s="438">
        <f t="shared" si="0"/>
        <v>51.82371398687838</v>
      </c>
      <c r="E6" s="393">
        <v>94174</v>
      </c>
      <c r="F6" s="431">
        <f t="shared" si="1"/>
        <v>-42.125215027502286</v>
      </c>
      <c r="I6" s="417">
        <f>10028+94174</f>
        <v>104202</v>
      </c>
      <c r="J6" s="417">
        <f>+I6/0.75</f>
        <v>138936</v>
      </c>
    </row>
    <row r="7" spans="1:10" ht="14.25" customHeight="1">
      <c r="A7" s="165" t="s">
        <v>11</v>
      </c>
      <c r="B7" s="393">
        <v>32489</v>
      </c>
      <c r="C7" s="393">
        <v>31105</v>
      </c>
      <c r="D7" s="438">
        <f t="shared" si="0"/>
        <v>95.74009664809627</v>
      </c>
      <c r="E7" s="393">
        <v>29478</v>
      </c>
      <c r="F7" s="431">
        <f t="shared" si="1"/>
        <v>5.519370377908949</v>
      </c>
      <c r="J7" s="417">
        <f>SUM(J5:J6)</f>
        <v>349496</v>
      </c>
    </row>
    <row r="8" spans="1:6" ht="14.25" customHeight="1" hidden="1">
      <c r="A8" s="165" t="s">
        <v>12</v>
      </c>
      <c r="B8" s="393">
        <v>0</v>
      </c>
      <c r="C8" s="393">
        <v>0</v>
      </c>
      <c r="D8" s="438"/>
      <c r="E8" s="393">
        <v>0</v>
      </c>
      <c r="F8" s="431"/>
    </row>
    <row r="9" spans="1:6" ht="14.25" customHeight="1">
      <c r="A9" s="165" t="s">
        <v>13</v>
      </c>
      <c r="B9" s="393">
        <v>11318</v>
      </c>
      <c r="C9" s="393">
        <v>13585</v>
      </c>
      <c r="D9" s="438">
        <f t="shared" si="0"/>
        <v>120.03004064322317</v>
      </c>
      <c r="E9" s="393">
        <v>10413</v>
      </c>
      <c r="F9" s="431">
        <f t="shared" si="1"/>
        <v>30.46192259675406</v>
      </c>
    </row>
    <row r="10" spans="1:11" ht="14.25" customHeight="1">
      <c r="A10" s="165" t="s">
        <v>14</v>
      </c>
      <c r="B10" s="393">
        <v>2279</v>
      </c>
      <c r="C10" s="393">
        <v>1856</v>
      </c>
      <c r="D10" s="438">
        <f t="shared" si="0"/>
        <v>81.43922773146117</v>
      </c>
      <c r="E10" s="393">
        <v>992</v>
      </c>
      <c r="F10" s="431">
        <f t="shared" si="1"/>
        <v>87.09677419354838</v>
      </c>
      <c r="I10" s="417">
        <f>+C5+C6</f>
        <v>159164</v>
      </c>
      <c r="K10" s="417">
        <f>+I14*100/J7-100</f>
        <v>0.6496974691174415</v>
      </c>
    </row>
    <row r="11" spans="1:6" ht="14.25" customHeight="1">
      <c r="A11" s="165" t="s">
        <v>15</v>
      </c>
      <c r="B11" s="393">
        <v>26546</v>
      </c>
      <c r="C11" s="393">
        <v>27982</v>
      </c>
      <c r="D11" s="438">
        <f t="shared" si="0"/>
        <v>105.40947788744066</v>
      </c>
      <c r="E11" s="393">
        <v>24243</v>
      </c>
      <c r="F11" s="431">
        <f t="shared" si="1"/>
        <v>15.423008703543292</v>
      </c>
    </row>
    <row r="12" spans="1:9" ht="14.25" customHeight="1">
      <c r="A12" s="165" t="s">
        <v>16</v>
      </c>
      <c r="B12" s="393">
        <v>18024</v>
      </c>
      <c r="C12" s="393">
        <v>14310</v>
      </c>
      <c r="D12" s="438">
        <f t="shared" si="0"/>
        <v>79.39414114513981</v>
      </c>
      <c r="E12" s="393">
        <v>16841</v>
      </c>
      <c r="F12" s="431">
        <f t="shared" si="1"/>
        <v>-15.02879876491895</v>
      </c>
      <c r="I12" s="417">
        <f>+C5/0.375</f>
        <v>279096</v>
      </c>
    </row>
    <row r="13" spans="1:9" ht="14.25" customHeight="1">
      <c r="A13" s="165" t="s">
        <v>17</v>
      </c>
      <c r="B13" s="393">
        <v>6296</v>
      </c>
      <c r="C13" s="393">
        <v>4914</v>
      </c>
      <c r="D13" s="438">
        <f t="shared" si="0"/>
        <v>78.04955527318933</v>
      </c>
      <c r="E13" s="393">
        <v>4845</v>
      </c>
      <c r="F13" s="431">
        <f t="shared" si="1"/>
        <v>1.4241486068111455</v>
      </c>
      <c r="I13" s="417">
        <f>+C6/0.75</f>
        <v>72670.66666666667</v>
      </c>
    </row>
    <row r="14" spans="1:9" ht="14.25" customHeight="1">
      <c r="A14" s="165" t="s">
        <v>18</v>
      </c>
      <c r="B14" s="393">
        <v>27145</v>
      </c>
      <c r="C14" s="393">
        <v>28638</v>
      </c>
      <c r="D14" s="438">
        <f t="shared" si="0"/>
        <v>105.50009209799227</v>
      </c>
      <c r="E14" s="393">
        <v>26160</v>
      </c>
      <c r="F14" s="431">
        <f t="shared" si="1"/>
        <v>9.472477064220183</v>
      </c>
      <c r="I14" s="417">
        <f>SUM(I12:I13)</f>
        <v>351766.6666666667</v>
      </c>
    </row>
    <row r="15" spans="1:6" ht="14.25" customHeight="1">
      <c r="A15" s="165" t="s">
        <v>19</v>
      </c>
      <c r="B15" s="393">
        <v>30814</v>
      </c>
      <c r="C15" s="393">
        <v>25478</v>
      </c>
      <c r="D15" s="438">
        <f t="shared" si="0"/>
        <v>82.6831959498929</v>
      </c>
      <c r="E15" s="393">
        <v>34477</v>
      </c>
      <c r="F15" s="431">
        <f t="shared" si="1"/>
        <v>-26.10145894364359</v>
      </c>
    </row>
    <row r="16" spans="1:6" ht="14.25" customHeight="1">
      <c r="A16" s="165" t="s">
        <v>20</v>
      </c>
      <c r="B16" s="393">
        <v>5708</v>
      </c>
      <c r="C16" s="393">
        <v>8894</v>
      </c>
      <c r="D16" s="438">
        <f t="shared" si="0"/>
        <v>155.81639803784162</v>
      </c>
      <c r="E16" s="393">
        <v>7118</v>
      </c>
      <c r="F16" s="431">
        <f t="shared" si="1"/>
        <v>24.950828884518124</v>
      </c>
    </row>
    <row r="17" spans="1:6" ht="14.25" customHeight="1">
      <c r="A17" s="165" t="s">
        <v>21</v>
      </c>
      <c r="B17" s="393">
        <v>31944</v>
      </c>
      <c r="C17" s="393">
        <v>34930</v>
      </c>
      <c r="D17" s="438">
        <f t="shared" si="0"/>
        <v>109.34760831455046</v>
      </c>
      <c r="E17" s="393">
        <v>27732</v>
      </c>
      <c r="F17" s="431">
        <f t="shared" si="1"/>
        <v>25.955574787249386</v>
      </c>
    </row>
    <row r="18" spans="1:6" ht="14.25" customHeight="1">
      <c r="A18" s="165" t="s">
        <v>22</v>
      </c>
      <c r="B18" s="393">
        <v>54796</v>
      </c>
      <c r="C18" s="393">
        <v>44276</v>
      </c>
      <c r="D18" s="438">
        <f t="shared" si="0"/>
        <v>80.8015183590043</v>
      </c>
      <c r="E18" s="393">
        <v>66497</v>
      </c>
      <c r="F18" s="431">
        <f t="shared" si="1"/>
        <v>-33.41654510729807</v>
      </c>
    </row>
    <row r="19" spans="1:6" ht="14.25" customHeight="1">
      <c r="A19" s="165" t="s">
        <v>23</v>
      </c>
      <c r="B19" s="393">
        <v>884</v>
      </c>
      <c r="C19" s="393">
        <v>0</v>
      </c>
      <c r="D19" s="438">
        <f t="shared" si="0"/>
        <v>0</v>
      </c>
      <c r="E19" s="393">
        <v>0</v>
      </c>
      <c r="F19" s="431"/>
    </row>
    <row r="20" spans="1:6" ht="14.25" customHeight="1">
      <c r="A20" s="165" t="s">
        <v>24</v>
      </c>
      <c r="B20" s="393">
        <f>SUM(B21:B28)</f>
        <v>243424</v>
      </c>
      <c r="C20" s="393">
        <f>SUM(C21:C28)</f>
        <v>273297</v>
      </c>
      <c r="D20" s="438">
        <f t="shared" si="0"/>
        <v>112.27200276061522</v>
      </c>
      <c r="E20" s="393">
        <f>SUM(E21:E28)</f>
        <v>293340</v>
      </c>
      <c r="F20" s="431">
        <f t="shared" si="1"/>
        <v>-6.832685620781345</v>
      </c>
    </row>
    <row r="21" spans="1:6" ht="14.25" customHeight="1">
      <c r="A21" s="165" t="s">
        <v>25</v>
      </c>
      <c r="B21" s="393">
        <v>50320</v>
      </c>
      <c r="C21" s="393">
        <v>37278</v>
      </c>
      <c r="D21" s="438">
        <f t="shared" si="0"/>
        <v>74.0818759936407</v>
      </c>
      <c r="E21" s="393">
        <v>42688</v>
      </c>
      <c r="F21" s="431">
        <f t="shared" si="1"/>
        <v>-12.673350824587706</v>
      </c>
    </row>
    <row r="22" spans="1:6" ht="14.25" customHeight="1">
      <c r="A22" s="165" t="s">
        <v>26</v>
      </c>
      <c r="B22" s="393">
        <v>46629</v>
      </c>
      <c r="C22" s="393">
        <v>50862</v>
      </c>
      <c r="D22" s="438">
        <f t="shared" si="0"/>
        <v>109.078041562118</v>
      </c>
      <c r="E22" s="393">
        <v>54991</v>
      </c>
      <c r="F22" s="431">
        <f t="shared" si="1"/>
        <v>-7.508501391136732</v>
      </c>
    </row>
    <row r="23" spans="1:7" ht="14.25" customHeight="1">
      <c r="A23" s="165" t="s">
        <v>27</v>
      </c>
      <c r="B23" s="393">
        <v>28421</v>
      </c>
      <c r="C23" s="393">
        <v>30438</v>
      </c>
      <c r="D23" s="438">
        <f t="shared" si="0"/>
        <v>107.09686499419445</v>
      </c>
      <c r="E23" s="393">
        <v>37673</v>
      </c>
      <c r="F23" s="431">
        <f t="shared" si="1"/>
        <v>-19.20473548695352</v>
      </c>
      <c r="G23" s="453"/>
    </row>
    <row r="24" spans="1:7" ht="14.25" customHeight="1">
      <c r="A24" s="165" t="s">
        <v>28</v>
      </c>
      <c r="B24" s="393">
        <v>27205</v>
      </c>
      <c r="C24" s="393">
        <v>38309</v>
      </c>
      <c r="D24" s="438">
        <f t="shared" si="0"/>
        <v>140.8160264657232</v>
      </c>
      <c r="E24" s="393">
        <v>38948</v>
      </c>
      <c r="F24" s="431">
        <f t="shared" si="1"/>
        <v>-1.6406490705556127</v>
      </c>
      <c r="G24" s="453"/>
    </row>
    <row r="25" spans="1:6" ht="14.25" customHeight="1">
      <c r="A25" s="165" t="s">
        <v>29</v>
      </c>
      <c r="B25" s="393">
        <v>83281</v>
      </c>
      <c r="C25" s="393">
        <v>89401</v>
      </c>
      <c r="D25" s="438">
        <f t="shared" si="0"/>
        <v>107.34861493017615</v>
      </c>
      <c r="E25" s="393">
        <v>96200</v>
      </c>
      <c r="F25" s="431">
        <f t="shared" si="1"/>
        <v>-7.0675675675675675</v>
      </c>
    </row>
    <row r="26" spans="1:6" ht="14.25" customHeight="1">
      <c r="A26" s="165" t="s">
        <v>30</v>
      </c>
      <c r="B26" s="393">
        <v>0</v>
      </c>
      <c r="C26" s="393">
        <v>264</v>
      </c>
      <c r="D26" s="438"/>
      <c r="E26" s="393">
        <v>572</v>
      </c>
      <c r="F26" s="431">
        <f t="shared" si="1"/>
        <v>-53.84615384615385</v>
      </c>
    </row>
    <row r="27" spans="1:6" ht="14.25" customHeight="1">
      <c r="A27" s="165" t="s">
        <v>31</v>
      </c>
      <c r="B27" s="393">
        <v>0</v>
      </c>
      <c r="C27" s="393">
        <v>12218</v>
      </c>
      <c r="D27" s="438"/>
      <c r="E27" s="393">
        <v>0</v>
      </c>
      <c r="F27" s="431"/>
    </row>
    <row r="28" spans="1:6" ht="14.25" customHeight="1">
      <c r="A28" s="165" t="s">
        <v>32</v>
      </c>
      <c r="B28" s="393">
        <v>7568</v>
      </c>
      <c r="C28" s="393">
        <f>13498+214+815</f>
        <v>14527</v>
      </c>
      <c r="D28" s="438">
        <f t="shared" si="0"/>
        <v>191.9529598308668</v>
      </c>
      <c r="E28" s="393">
        <v>22268</v>
      </c>
      <c r="F28" s="431">
        <f t="shared" si="1"/>
        <v>-34.76288844979343</v>
      </c>
    </row>
    <row r="29" spans="1:6" ht="14.25" customHeight="1">
      <c r="A29" s="169" t="s">
        <v>33</v>
      </c>
      <c r="B29" s="393">
        <f>+B4+B20</f>
        <v>670447</v>
      </c>
      <c r="C29" s="393">
        <f>+C4+C20</f>
        <v>668429</v>
      </c>
      <c r="D29" s="438">
        <f t="shared" si="0"/>
        <v>99.69900678204243</v>
      </c>
      <c r="E29" s="393">
        <f>+E4+E20</f>
        <v>685818</v>
      </c>
      <c r="F29" s="431">
        <f t="shared" si="1"/>
        <v>-2.535512337092348</v>
      </c>
    </row>
    <row r="30" spans="1:6" ht="14.25" customHeight="1">
      <c r="A30" s="170" t="s">
        <v>34</v>
      </c>
      <c r="B30" s="393">
        <f>SUM(B31:B33)</f>
        <v>352855</v>
      </c>
      <c r="C30" s="393">
        <f>SUM(C31:C33)</f>
        <v>317746</v>
      </c>
      <c r="D30" s="438">
        <f t="shared" si="0"/>
        <v>90.05002054668348</v>
      </c>
      <c r="E30" s="393">
        <f>SUM(E31:E33)</f>
        <v>283793</v>
      </c>
      <c r="F30" s="431">
        <f t="shared" si="1"/>
        <v>11.964001930984908</v>
      </c>
    </row>
    <row r="31" spans="1:6" ht="14.25" customHeight="1">
      <c r="A31" s="165" t="s">
        <v>35</v>
      </c>
      <c r="B31" s="393">
        <v>206563</v>
      </c>
      <c r="C31" s="393">
        <v>169068</v>
      </c>
      <c r="D31" s="438">
        <f t="shared" si="0"/>
        <v>81.84815286377521</v>
      </c>
      <c r="E31" s="393">
        <v>157929</v>
      </c>
      <c r="F31" s="431">
        <f t="shared" si="1"/>
        <v>7.0531694622266965</v>
      </c>
    </row>
    <row r="32" spans="1:6" ht="14.25" customHeight="1">
      <c r="A32" s="165" t="s">
        <v>36</v>
      </c>
      <c r="B32" s="393">
        <v>52721</v>
      </c>
      <c r="C32" s="393">
        <v>53050</v>
      </c>
      <c r="D32" s="438">
        <f t="shared" si="0"/>
        <v>100.62403975645378</v>
      </c>
      <c r="E32" s="393">
        <v>40381</v>
      </c>
      <c r="F32" s="431">
        <f t="shared" si="1"/>
        <v>31.373665832941235</v>
      </c>
    </row>
    <row r="33" spans="1:6" ht="14.25" customHeight="1">
      <c r="A33" s="165" t="s">
        <v>37</v>
      </c>
      <c r="B33" s="393">
        <v>93571</v>
      </c>
      <c r="C33" s="393">
        <v>95628</v>
      </c>
      <c r="D33" s="438">
        <f t="shared" si="0"/>
        <v>102.19833067937716</v>
      </c>
      <c r="E33" s="393">
        <v>85483</v>
      </c>
      <c r="F33" s="431">
        <f t="shared" si="1"/>
        <v>11.86785676684253</v>
      </c>
    </row>
    <row r="34" spans="1:6" ht="14.25" customHeight="1">
      <c r="A34" s="170" t="s">
        <v>38</v>
      </c>
      <c r="B34" s="393">
        <f>SUM(B35:B39)</f>
        <v>91061</v>
      </c>
      <c r="C34" s="393">
        <f>SUM(C35:C39)</f>
        <v>84876</v>
      </c>
      <c r="D34" s="438">
        <f t="shared" si="0"/>
        <v>93.2078496831794</v>
      </c>
      <c r="E34" s="393">
        <f>SUM(E35:E39)</f>
        <v>76532</v>
      </c>
      <c r="F34" s="431">
        <f t="shared" si="1"/>
        <v>10.902628965661423</v>
      </c>
    </row>
    <row r="35" spans="1:6" ht="14.25" customHeight="1">
      <c r="A35" s="165" t="s">
        <v>39</v>
      </c>
      <c r="B35" s="393">
        <v>24329</v>
      </c>
      <c r="C35" s="393">
        <v>34888</v>
      </c>
      <c r="D35" s="438">
        <f t="shared" si="0"/>
        <v>143.40087960869744</v>
      </c>
      <c r="E35" s="393">
        <v>16504</v>
      </c>
      <c r="F35" s="431">
        <f t="shared" si="1"/>
        <v>111.39117789626758</v>
      </c>
    </row>
    <row r="36" spans="1:6" ht="14.25" customHeight="1">
      <c r="A36" s="165" t="s">
        <v>40</v>
      </c>
      <c r="B36" s="393">
        <v>35085</v>
      </c>
      <c r="C36" s="393">
        <v>18166</v>
      </c>
      <c r="D36" s="438">
        <f t="shared" si="0"/>
        <v>51.77711272623628</v>
      </c>
      <c r="E36" s="393">
        <v>31390</v>
      </c>
      <c r="F36" s="431">
        <f t="shared" si="1"/>
        <v>-42.12806626314113</v>
      </c>
    </row>
    <row r="37" spans="1:6" ht="14.25" customHeight="1">
      <c r="A37" s="165" t="s">
        <v>41</v>
      </c>
      <c r="B37" s="393">
        <v>18713</v>
      </c>
      <c r="C37" s="393">
        <v>18801</v>
      </c>
      <c r="D37" s="438">
        <f t="shared" si="0"/>
        <v>100.4702613156629</v>
      </c>
      <c r="E37" s="393">
        <v>17097</v>
      </c>
      <c r="F37" s="431">
        <f t="shared" si="1"/>
        <v>9.966660817687313</v>
      </c>
    </row>
    <row r="38" spans="1:6" ht="14.25" customHeight="1">
      <c r="A38" s="165" t="s">
        <v>42</v>
      </c>
      <c r="B38" s="393">
        <v>761</v>
      </c>
      <c r="C38" s="393">
        <v>618</v>
      </c>
      <c r="D38" s="438">
        <f t="shared" si="0"/>
        <v>81.2089356110381</v>
      </c>
      <c r="E38" s="393">
        <v>330</v>
      </c>
      <c r="F38" s="431">
        <f t="shared" si="1"/>
        <v>87.27272727272727</v>
      </c>
    </row>
    <row r="39" spans="1:6" ht="14.25" customHeight="1">
      <c r="A39" s="165" t="s">
        <v>43</v>
      </c>
      <c r="B39" s="393">
        <v>12173</v>
      </c>
      <c r="C39" s="393">
        <v>12403</v>
      </c>
      <c r="D39" s="438">
        <f t="shared" si="0"/>
        <v>101.8894274213423</v>
      </c>
      <c r="E39" s="393">
        <v>11211</v>
      </c>
      <c r="F39" s="431">
        <f t="shared" si="1"/>
        <v>10.632414592810632</v>
      </c>
    </row>
    <row r="40" spans="1:6" ht="14.25" customHeight="1">
      <c r="A40" s="169" t="s">
        <v>44</v>
      </c>
      <c r="B40" s="393">
        <f>B29+B30+B34</f>
        <v>1114363</v>
      </c>
      <c r="C40" s="393">
        <f>C29+C30+C34</f>
        <v>1071051</v>
      </c>
      <c r="D40" s="438">
        <f t="shared" si="0"/>
        <v>96.1132952188829</v>
      </c>
      <c r="E40" s="393">
        <f>E29+E30+E34</f>
        <v>1046143</v>
      </c>
      <c r="F40" s="431">
        <f t="shared" si="1"/>
        <v>2.3809364494146594</v>
      </c>
    </row>
    <row r="41" spans="1:6" ht="60.75" customHeight="1">
      <c r="A41" s="455" t="s">
        <v>45</v>
      </c>
      <c r="B41" s="455"/>
      <c r="C41" s="455"/>
      <c r="D41" s="455"/>
      <c r="E41" s="455"/>
      <c r="F41" s="455"/>
    </row>
    <row r="42" ht="15.75">
      <c r="F42" s="454"/>
    </row>
  </sheetData>
  <sheetProtection/>
  <mergeCells count="1">
    <mergeCell ref="A41:F41"/>
  </mergeCells>
  <printOptions horizontalCentered="1"/>
  <pageMargins left="0.79" right="0.79" top="1.05" bottom="0.9" header="0.2" footer="0.71"/>
  <pageSetup firstPageNumber="1" useFirstPageNumber="1" horizontalDpi="180" verticalDpi="180" orientation="portrait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D6" sqref="D6"/>
    </sheetView>
  </sheetViews>
  <sheetFormatPr defaultColWidth="8.00390625" defaultRowHeight="14.25" customHeight="1"/>
  <cols>
    <col min="1" max="1" width="32.125" style="273" customWidth="1"/>
    <col min="2" max="2" width="10.50390625" style="273" customWidth="1"/>
    <col min="3" max="3" width="13.375" style="273" customWidth="1"/>
    <col min="4" max="4" width="11.75390625" style="273" customWidth="1"/>
    <col min="5" max="5" width="8.75390625" style="273" customWidth="1"/>
    <col min="6" max="6" width="12.375" style="273" customWidth="1"/>
    <col min="7" max="7" width="9.00390625" style="273" customWidth="1"/>
    <col min="8" max="8" width="9.625" style="273" customWidth="1"/>
    <col min="9" max="16384" width="8.00390625" style="273" customWidth="1"/>
  </cols>
  <sheetData>
    <row r="1" spans="1:8" s="271" customFormat="1" ht="30" customHeight="1">
      <c r="A1" s="478" t="s">
        <v>168</v>
      </c>
      <c r="B1" s="478"/>
      <c r="C1" s="478"/>
      <c r="D1" s="478"/>
      <c r="E1" s="478"/>
      <c r="F1" s="478"/>
      <c r="G1" s="478"/>
      <c r="H1" s="478"/>
    </row>
    <row r="2" spans="1:8" ht="6.75" customHeight="1">
      <c r="A2" s="359"/>
      <c r="B2" s="359"/>
      <c r="C2" s="359"/>
      <c r="D2" s="359"/>
      <c r="E2" s="359"/>
      <c r="F2" s="359"/>
      <c r="G2" s="359"/>
      <c r="H2" s="359"/>
    </row>
    <row r="3" spans="1:8" ht="15.75" customHeight="1">
      <c r="A3" s="360"/>
      <c r="B3" s="360"/>
      <c r="C3" s="360"/>
      <c r="D3" s="360"/>
      <c r="E3" s="360"/>
      <c r="F3" s="360"/>
      <c r="G3" s="479" t="s">
        <v>169</v>
      </c>
      <c r="H3" s="480"/>
    </row>
    <row r="4" spans="1:8" s="305" customFormat="1" ht="42" customHeight="1">
      <c r="A4" s="293" t="s">
        <v>170</v>
      </c>
      <c r="B4" s="361" t="s">
        <v>171</v>
      </c>
      <c r="C4" s="362" t="s">
        <v>172</v>
      </c>
      <c r="D4" s="362" t="s">
        <v>173</v>
      </c>
      <c r="E4" s="361" t="s">
        <v>174</v>
      </c>
      <c r="F4" s="361" t="s">
        <v>175</v>
      </c>
      <c r="G4" s="361" t="s">
        <v>176</v>
      </c>
      <c r="H4" s="361" t="s">
        <v>177</v>
      </c>
    </row>
    <row r="5" spans="1:8" s="305" customFormat="1" ht="19.5" customHeight="1">
      <c r="A5" s="363" t="s">
        <v>178</v>
      </c>
      <c r="B5" s="364">
        <f>C5+D5+E5+F5+G5+H5</f>
        <v>101409</v>
      </c>
      <c r="C5" s="365">
        <v>18981</v>
      </c>
      <c r="D5" s="365">
        <v>6876</v>
      </c>
      <c r="E5" s="364">
        <v>3409</v>
      </c>
      <c r="F5" s="364">
        <v>54199</v>
      </c>
      <c r="G5" s="364">
        <v>14846</v>
      </c>
      <c r="H5" s="364">
        <v>3098</v>
      </c>
    </row>
    <row r="6" spans="1:8" s="305" customFormat="1" ht="19.5" customHeight="1">
      <c r="A6" s="363" t="s">
        <v>179</v>
      </c>
      <c r="B6" s="364">
        <f aca="true" t="shared" si="0" ref="B6:H6">SUM(B7:B13)</f>
        <v>166287.8</v>
      </c>
      <c r="C6" s="366">
        <f t="shared" si="0"/>
        <v>119507</v>
      </c>
      <c r="D6" s="366">
        <f t="shared" si="0"/>
        <v>3360</v>
      </c>
      <c r="E6" s="366">
        <f t="shared" si="0"/>
        <v>2335.8</v>
      </c>
      <c r="F6" s="366">
        <f t="shared" si="0"/>
        <v>33467</v>
      </c>
      <c r="G6" s="366">
        <f t="shared" si="0"/>
        <v>6249</v>
      </c>
      <c r="H6" s="366">
        <f t="shared" si="0"/>
        <v>1369</v>
      </c>
    </row>
    <row r="7" spans="1:8" s="305" customFormat="1" ht="19.5" customHeight="1">
      <c r="A7" s="367" t="s">
        <v>180</v>
      </c>
      <c r="B7" s="364">
        <f aca="true" t="shared" si="1" ref="B7:B13">C7+D7+E7+F7+G7+H7</f>
        <v>105596</v>
      </c>
      <c r="C7" s="366">
        <v>62000</v>
      </c>
      <c r="D7" s="366">
        <v>3180</v>
      </c>
      <c r="E7" s="366">
        <v>2100</v>
      </c>
      <c r="F7" s="366">
        <v>31830</v>
      </c>
      <c r="G7" s="366">
        <v>5197</v>
      </c>
      <c r="H7" s="366">
        <v>1289</v>
      </c>
    </row>
    <row r="8" spans="1:8" s="305" customFormat="1" ht="19.5" customHeight="1">
      <c r="A8" s="367" t="s">
        <v>181</v>
      </c>
      <c r="B8" s="364">
        <f t="shared" si="1"/>
        <v>2904.8</v>
      </c>
      <c r="C8" s="366">
        <v>600</v>
      </c>
      <c r="D8" s="366">
        <v>180</v>
      </c>
      <c r="E8" s="366">
        <v>46.8</v>
      </c>
      <c r="F8" s="366">
        <v>1637</v>
      </c>
      <c r="G8" s="366">
        <v>361</v>
      </c>
      <c r="H8" s="366">
        <v>80</v>
      </c>
    </row>
    <row r="9" spans="1:8" s="305" customFormat="1" ht="19.5" customHeight="1">
      <c r="A9" s="279" t="s">
        <v>182</v>
      </c>
      <c r="B9" s="364">
        <f t="shared" si="1"/>
        <v>54786</v>
      </c>
      <c r="C9" s="366">
        <v>54786</v>
      </c>
      <c r="D9" s="366"/>
      <c r="E9" s="366"/>
      <c r="F9" s="366"/>
      <c r="G9" s="366"/>
      <c r="H9" s="366"/>
    </row>
    <row r="10" spans="1:8" s="305" customFormat="1" ht="19.5" customHeight="1">
      <c r="A10" s="279" t="s">
        <v>183</v>
      </c>
      <c r="B10" s="364">
        <f t="shared" si="1"/>
        <v>2121</v>
      </c>
      <c r="C10" s="366">
        <v>2121</v>
      </c>
      <c r="D10" s="366"/>
      <c r="E10" s="366"/>
      <c r="F10" s="366"/>
      <c r="G10" s="366"/>
      <c r="H10" s="366"/>
    </row>
    <row r="11" spans="1:8" s="305" customFormat="1" ht="19.5" customHeight="1">
      <c r="A11" s="279" t="s">
        <v>184</v>
      </c>
      <c r="B11" s="364">
        <f t="shared" si="1"/>
        <v>0</v>
      </c>
      <c r="C11" s="366"/>
      <c r="D11" s="366"/>
      <c r="E11" s="366"/>
      <c r="F11" s="366"/>
      <c r="G11" s="366"/>
      <c r="H11" s="366"/>
    </row>
    <row r="12" spans="1:8" s="305" customFormat="1" ht="19.5" customHeight="1">
      <c r="A12" s="279" t="s">
        <v>185</v>
      </c>
      <c r="B12" s="364">
        <f t="shared" si="1"/>
        <v>0</v>
      </c>
      <c r="C12" s="366"/>
      <c r="D12" s="366"/>
      <c r="E12" s="366"/>
      <c r="F12" s="366"/>
      <c r="G12" s="366"/>
      <c r="H12" s="366"/>
    </row>
    <row r="13" spans="1:8" s="305" customFormat="1" ht="19.5" customHeight="1">
      <c r="A13" s="279" t="s">
        <v>186</v>
      </c>
      <c r="B13" s="364">
        <f t="shared" si="1"/>
        <v>880</v>
      </c>
      <c r="C13" s="366"/>
      <c r="D13" s="366"/>
      <c r="E13" s="366">
        <v>189</v>
      </c>
      <c r="F13" s="366"/>
      <c r="G13" s="366">
        <v>691</v>
      </c>
      <c r="H13" s="366"/>
    </row>
    <row r="14" spans="1:8" s="305" customFormat="1" ht="19.5" customHeight="1">
      <c r="A14" s="367" t="s">
        <v>187</v>
      </c>
      <c r="B14" s="364">
        <f aca="true" t="shared" si="2" ref="B14:H14">SUM(B15:B19)</f>
        <v>163031.5</v>
      </c>
      <c r="C14" s="366">
        <f t="shared" si="2"/>
        <v>123237</v>
      </c>
      <c r="D14" s="366">
        <f t="shared" si="2"/>
        <v>1900</v>
      </c>
      <c r="E14" s="366">
        <f t="shared" si="2"/>
        <v>1730.5</v>
      </c>
      <c r="F14" s="366">
        <f t="shared" si="2"/>
        <v>29285</v>
      </c>
      <c r="G14" s="366">
        <f t="shared" si="2"/>
        <v>5433</v>
      </c>
      <c r="H14" s="366">
        <f t="shared" si="2"/>
        <v>1446</v>
      </c>
    </row>
    <row r="15" spans="1:14" s="305" customFormat="1" ht="19.5" customHeight="1">
      <c r="A15" s="367" t="s">
        <v>188</v>
      </c>
      <c r="B15" s="364">
        <f aca="true" t="shared" si="3" ref="B15:B21">C15+D15+E15+F15+G15+H15</f>
        <v>160014</v>
      </c>
      <c r="C15" s="366">
        <v>121257</v>
      </c>
      <c r="D15" s="366">
        <v>1900</v>
      </c>
      <c r="E15" s="366">
        <v>1599</v>
      </c>
      <c r="F15" s="366">
        <v>29285</v>
      </c>
      <c r="G15" s="366">
        <v>4527</v>
      </c>
      <c r="H15" s="366">
        <v>1446</v>
      </c>
      <c r="N15" s="369"/>
    </row>
    <row r="16" spans="1:8" s="305" customFormat="1" ht="19.5" customHeight="1">
      <c r="A16" s="367" t="s">
        <v>189</v>
      </c>
      <c r="B16" s="364">
        <f t="shared" si="3"/>
        <v>1980</v>
      </c>
      <c r="C16" s="366">
        <v>1980</v>
      </c>
      <c r="D16" s="366"/>
      <c r="E16" s="366"/>
      <c r="F16" s="366"/>
      <c r="G16" s="366"/>
      <c r="H16" s="366"/>
    </row>
    <row r="17" spans="1:8" s="305" customFormat="1" ht="19.5" customHeight="1">
      <c r="A17" s="279" t="s">
        <v>190</v>
      </c>
      <c r="B17" s="364">
        <f t="shared" si="3"/>
        <v>0</v>
      </c>
      <c r="C17" s="366"/>
      <c r="D17" s="366"/>
      <c r="E17" s="366"/>
      <c r="F17" s="366"/>
      <c r="G17" s="366"/>
      <c r="H17" s="366"/>
    </row>
    <row r="18" spans="1:8" s="305" customFormat="1" ht="19.5" customHeight="1">
      <c r="A18" s="368" t="s">
        <v>191</v>
      </c>
      <c r="B18" s="364">
        <f t="shared" si="3"/>
        <v>500</v>
      </c>
      <c r="C18" s="366"/>
      <c r="D18" s="366"/>
      <c r="E18" s="366"/>
      <c r="F18" s="366"/>
      <c r="G18" s="366">
        <v>500</v>
      </c>
      <c r="H18" s="366"/>
    </row>
    <row r="19" spans="1:8" s="305" customFormat="1" ht="19.5" customHeight="1">
      <c r="A19" s="368" t="s">
        <v>192</v>
      </c>
      <c r="B19" s="364">
        <f t="shared" si="3"/>
        <v>537.5</v>
      </c>
      <c r="C19" s="366"/>
      <c r="D19" s="366"/>
      <c r="E19" s="366">
        <v>131.5</v>
      </c>
      <c r="F19" s="366"/>
      <c r="G19" s="366">
        <v>406</v>
      </c>
      <c r="H19" s="366"/>
    </row>
    <row r="20" spans="1:8" s="305" customFormat="1" ht="19.5" customHeight="1">
      <c r="A20" s="363" t="s">
        <v>193</v>
      </c>
      <c r="B20" s="364">
        <f t="shared" si="3"/>
        <v>3256.3</v>
      </c>
      <c r="C20" s="366">
        <f aca="true" t="shared" si="4" ref="C20:H20">C6-C14</f>
        <v>-3730</v>
      </c>
      <c r="D20" s="366">
        <f t="shared" si="4"/>
        <v>1460</v>
      </c>
      <c r="E20" s="366">
        <f t="shared" si="4"/>
        <v>605.3000000000002</v>
      </c>
      <c r="F20" s="366">
        <f t="shared" si="4"/>
        <v>4182</v>
      </c>
      <c r="G20" s="366">
        <f t="shared" si="4"/>
        <v>816</v>
      </c>
      <c r="H20" s="366">
        <f t="shared" si="4"/>
        <v>-77</v>
      </c>
    </row>
    <row r="21" spans="1:8" ht="19.5" customHeight="1">
      <c r="A21" s="367" t="s">
        <v>194</v>
      </c>
      <c r="B21" s="364">
        <f t="shared" si="3"/>
        <v>104665.3</v>
      </c>
      <c r="C21" s="366">
        <f aca="true" t="shared" si="5" ref="C21:H21">C5+C20</f>
        <v>15251</v>
      </c>
      <c r="D21" s="366">
        <f t="shared" si="5"/>
        <v>8336</v>
      </c>
      <c r="E21" s="366">
        <f t="shared" si="5"/>
        <v>4014.3</v>
      </c>
      <c r="F21" s="366">
        <f t="shared" si="5"/>
        <v>58381</v>
      </c>
      <c r="G21" s="366">
        <f t="shared" si="5"/>
        <v>15662</v>
      </c>
      <c r="H21" s="366">
        <f t="shared" si="5"/>
        <v>3021</v>
      </c>
    </row>
    <row r="22" ht="24.75" customHeight="1"/>
    <row r="23" ht="24.75" customHeight="1"/>
    <row r="24" ht="24.75" customHeight="1"/>
    <row r="25" ht="24.75" customHeight="1"/>
  </sheetData>
  <sheetProtection/>
  <mergeCells count="2">
    <mergeCell ref="A1:H1"/>
    <mergeCell ref="G3:H3"/>
  </mergeCells>
  <printOptions horizontalCentered="1"/>
  <pageMargins left="0.79" right="0.79" top="0.98" bottom="0.98" header="0.2" footer="0.79"/>
  <pageSetup firstPageNumber="18" useFirstPageNumber="1" horizontalDpi="600" verticalDpi="600" orientation="landscape" paperSize="9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6" sqref="D6"/>
    </sheetView>
  </sheetViews>
  <sheetFormatPr defaultColWidth="8.00390625" defaultRowHeight="14.25" customHeight="1"/>
  <cols>
    <col min="1" max="1" width="26.25390625" style="273" customWidth="1"/>
    <col min="2" max="2" width="11.125" style="273" customWidth="1"/>
    <col min="3" max="3" width="10.75390625" style="273" customWidth="1"/>
    <col min="4" max="4" width="10.25390625" style="273" customWidth="1"/>
    <col min="5" max="5" width="24.00390625" style="273" customWidth="1"/>
    <col min="6" max="6" width="11.00390625" style="273" customWidth="1"/>
    <col min="7" max="7" width="11.125" style="273" customWidth="1"/>
    <col min="8" max="8" width="10.625" style="273" customWidth="1"/>
    <col min="9" max="16384" width="8.00390625" style="273" customWidth="1"/>
  </cols>
  <sheetData>
    <row r="1" spans="1:8" s="271" customFormat="1" ht="54" customHeight="1">
      <c r="A1" s="475" t="s">
        <v>195</v>
      </c>
      <c r="B1" s="475"/>
      <c r="C1" s="475"/>
      <c r="D1" s="475"/>
      <c r="E1" s="475"/>
      <c r="F1" s="475"/>
      <c r="G1" s="475"/>
      <c r="H1" s="475"/>
    </row>
    <row r="2" spans="1:8" ht="18.75" customHeight="1">
      <c r="A2" s="274"/>
      <c r="B2" s="274"/>
      <c r="C2" s="274"/>
      <c r="D2" s="274"/>
      <c r="E2" s="274"/>
      <c r="F2" s="275"/>
      <c r="H2" s="348" t="s">
        <v>196</v>
      </c>
    </row>
    <row r="3" spans="1:8" s="272" customFormat="1" ht="28.5">
      <c r="A3" s="239" t="s">
        <v>197</v>
      </c>
      <c r="B3" s="276" t="s">
        <v>198</v>
      </c>
      <c r="C3" s="276" t="s">
        <v>199</v>
      </c>
      <c r="D3" s="277" t="s">
        <v>200</v>
      </c>
      <c r="E3" s="276" t="s">
        <v>201</v>
      </c>
      <c r="F3" s="276" t="s">
        <v>198</v>
      </c>
      <c r="G3" s="276" t="s">
        <v>199</v>
      </c>
      <c r="H3" s="277" t="s">
        <v>200</v>
      </c>
    </row>
    <row r="4" spans="1:8" ht="30" customHeight="1">
      <c r="A4" s="279" t="s">
        <v>202</v>
      </c>
      <c r="B4" s="332">
        <v>43500</v>
      </c>
      <c r="C4" s="332">
        <v>62000</v>
      </c>
      <c r="D4" s="354">
        <f>C4/B4*100</f>
        <v>142.52873563218392</v>
      </c>
      <c r="E4" s="286" t="s">
        <v>203</v>
      </c>
      <c r="F4" s="355">
        <v>119938</v>
      </c>
      <c r="G4" s="356">
        <v>121257</v>
      </c>
      <c r="H4" s="285">
        <f>G4/F4*100</f>
        <v>101.09973486301256</v>
      </c>
    </row>
    <row r="5" spans="1:8" ht="30" customHeight="1">
      <c r="A5" s="279" t="s">
        <v>204</v>
      </c>
      <c r="B5" s="332">
        <v>600</v>
      </c>
      <c r="C5" s="332">
        <v>600</v>
      </c>
      <c r="D5" s="354">
        <f aca="true" t="shared" si="0" ref="D5:D14">C5/B5*100</f>
        <v>100</v>
      </c>
      <c r="E5" s="286" t="s">
        <v>205</v>
      </c>
      <c r="F5" s="355"/>
      <c r="G5" s="356"/>
      <c r="H5" s="285"/>
    </row>
    <row r="6" spans="1:8" ht="30" customHeight="1">
      <c r="A6" s="279" t="s">
        <v>206</v>
      </c>
      <c r="B6" s="332">
        <v>51574</v>
      </c>
      <c r="C6" s="332">
        <v>54786</v>
      </c>
      <c r="D6" s="354">
        <f t="shared" si="0"/>
        <v>106.22794431302593</v>
      </c>
      <c r="E6" s="286" t="s">
        <v>207</v>
      </c>
      <c r="F6" s="355"/>
      <c r="G6" s="356"/>
      <c r="H6" s="285"/>
    </row>
    <row r="7" spans="1:8" ht="30" customHeight="1">
      <c r="A7" s="279" t="s">
        <v>208</v>
      </c>
      <c r="B7" s="332"/>
      <c r="C7" s="332"/>
      <c r="D7" s="354"/>
      <c r="E7" s="286" t="s">
        <v>209</v>
      </c>
      <c r="F7" s="355"/>
      <c r="G7" s="356"/>
      <c r="H7" s="285"/>
    </row>
    <row r="8" spans="1:8" ht="30" customHeight="1">
      <c r="A8" s="279" t="s">
        <v>210</v>
      </c>
      <c r="B8" s="332"/>
      <c r="C8" s="332"/>
      <c r="D8" s="354"/>
      <c r="E8" s="286" t="s">
        <v>211</v>
      </c>
      <c r="F8" s="355"/>
      <c r="G8" s="356"/>
      <c r="H8" s="285"/>
    </row>
    <row r="9" spans="1:8" ht="30" customHeight="1">
      <c r="A9" s="279" t="s">
        <v>212</v>
      </c>
      <c r="B9" s="332"/>
      <c r="C9" s="332"/>
      <c r="D9" s="354"/>
      <c r="E9" s="286" t="s">
        <v>213</v>
      </c>
      <c r="F9" s="355"/>
      <c r="G9" s="356"/>
      <c r="H9" s="285"/>
    </row>
    <row r="10" spans="1:8" ht="30" customHeight="1">
      <c r="A10" s="279" t="s">
        <v>214</v>
      </c>
      <c r="B10" s="332">
        <v>3000</v>
      </c>
      <c r="C10" s="332">
        <v>2121</v>
      </c>
      <c r="D10" s="354">
        <f t="shared" si="0"/>
        <v>70.7</v>
      </c>
      <c r="E10" s="286" t="s">
        <v>215</v>
      </c>
      <c r="F10" s="355">
        <v>1732</v>
      </c>
      <c r="G10" s="356">
        <v>1980</v>
      </c>
      <c r="H10" s="285">
        <f>G10/F10*100</f>
        <v>114.31870669745959</v>
      </c>
    </row>
    <row r="11" spans="1:8" ht="30" customHeight="1">
      <c r="A11" s="279" t="s">
        <v>216</v>
      </c>
      <c r="B11" s="332">
        <f aca="true" t="shared" si="1" ref="B11:G11">SUM(B4:B10)</f>
        <v>98674</v>
      </c>
      <c r="C11" s="332">
        <f t="shared" si="1"/>
        <v>119507</v>
      </c>
      <c r="D11" s="354">
        <f t="shared" si="0"/>
        <v>121.1129578207025</v>
      </c>
      <c r="E11" s="286" t="s">
        <v>217</v>
      </c>
      <c r="F11" s="355">
        <f t="shared" si="1"/>
        <v>121670</v>
      </c>
      <c r="G11" s="355">
        <f t="shared" si="1"/>
        <v>123237</v>
      </c>
      <c r="H11" s="285">
        <f>G11/F11*100</f>
        <v>101.28790992027616</v>
      </c>
    </row>
    <row r="12" spans="1:11" ht="30" customHeight="1">
      <c r="A12" s="239"/>
      <c r="B12" s="332"/>
      <c r="C12" s="332"/>
      <c r="D12" s="354"/>
      <c r="E12" s="286" t="s">
        <v>218</v>
      </c>
      <c r="F12" s="357">
        <f>+B11-F11</f>
        <v>-22996</v>
      </c>
      <c r="G12" s="357">
        <f>+C11-G11</f>
        <v>-3730</v>
      </c>
      <c r="H12" s="285">
        <f>G12/F12*100</f>
        <v>16.220212210819273</v>
      </c>
      <c r="K12" s="358"/>
    </row>
    <row r="13" spans="1:8" ht="30" customHeight="1">
      <c r="A13" s="279" t="s">
        <v>219</v>
      </c>
      <c r="B13" s="332">
        <v>23029</v>
      </c>
      <c r="C13" s="355">
        <v>18981</v>
      </c>
      <c r="D13" s="354">
        <f t="shared" si="0"/>
        <v>82.42216335924269</v>
      </c>
      <c r="E13" s="286" t="s">
        <v>220</v>
      </c>
      <c r="F13" s="355">
        <f>+B13+F12</f>
        <v>33</v>
      </c>
      <c r="G13" s="355">
        <f>+C13+G12</f>
        <v>15251</v>
      </c>
      <c r="H13" s="285"/>
    </row>
    <row r="14" spans="1:8" ht="30" customHeight="1">
      <c r="A14" s="293" t="s">
        <v>221</v>
      </c>
      <c r="B14" s="288">
        <f aca="true" t="shared" si="2" ref="B14:G14">B13+B11</f>
        <v>121703</v>
      </c>
      <c r="C14" s="288">
        <f t="shared" si="2"/>
        <v>138488</v>
      </c>
      <c r="D14" s="354">
        <f t="shared" si="0"/>
        <v>113.79177177226526</v>
      </c>
      <c r="E14" s="347" t="s">
        <v>221</v>
      </c>
      <c r="F14" s="288">
        <f t="shared" si="2"/>
        <v>121703</v>
      </c>
      <c r="G14" s="288">
        <f t="shared" si="2"/>
        <v>138488</v>
      </c>
      <c r="H14" s="285">
        <f>G14/F14*100</f>
        <v>113.79177177226526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</sheetData>
  <sheetProtection/>
  <mergeCells count="1">
    <mergeCell ref="A1:H1"/>
  </mergeCells>
  <printOptions horizontalCentered="1"/>
  <pageMargins left="0.75" right="0.75" top="0.98" bottom="0.98" header="0.51" footer="0.79"/>
  <pageSetup firstPageNumber="19" useFirstPageNumber="1" horizontalDpi="600" verticalDpi="600" orientation="landscape" paperSize="9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6" sqref="D6"/>
    </sheetView>
  </sheetViews>
  <sheetFormatPr defaultColWidth="8.00390625" defaultRowHeight="14.25" customHeight="1"/>
  <cols>
    <col min="1" max="1" width="28.25390625" style="273" customWidth="1"/>
    <col min="2" max="2" width="11.125" style="273" customWidth="1"/>
    <col min="3" max="3" width="11.00390625" style="273" customWidth="1"/>
    <col min="4" max="4" width="11.50390625" style="273" customWidth="1"/>
    <col min="5" max="5" width="22.125" style="273" customWidth="1"/>
    <col min="6" max="6" width="10.625" style="273" customWidth="1"/>
    <col min="7" max="7" width="10.00390625" style="273" customWidth="1"/>
    <col min="8" max="8" width="10.375" style="273" customWidth="1"/>
    <col min="9" max="16384" width="8.00390625" style="273" customWidth="1"/>
  </cols>
  <sheetData>
    <row r="1" spans="1:7" s="271" customFormat="1" ht="45" customHeight="1">
      <c r="A1" s="475" t="s">
        <v>222</v>
      </c>
      <c r="B1" s="475"/>
      <c r="C1" s="475"/>
      <c r="D1" s="475"/>
      <c r="E1" s="475"/>
      <c r="F1" s="475"/>
      <c r="G1" s="475"/>
    </row>
    <row r="2" spans="1:8" ht="20.25" customHeight="1">
      <c r="A2" s="274"/>
      <c r="B2" s="274"/>
      <c r="C2" s="274"/>
      <c r="D2" s="303"/>
      <c r="E2" s="274"/>
      <c r="F2" s="275"/>
      <c r="G2" s="348"/>
      <c r="H2" s="348" t="s">
        <v>131</v>
      </c>
    </row>
    <row r="3" spans="1:8" s="272" customFormat="1" ht="28.5" customHeight="1">
      <c r="A3" s="239" t="s">
        <v>197</v>
      </c>
      <c r="B3" s="276" t="s">
        <v>198</v>
      </c>
      <c r="C3" s="349" t="s">
        <v>199</v>
      </c>
      <c r="D3" s="350" t="s">
        <v>200</v>
      </c>
      <c r="E3" s="351" t="s">
        <v>201</v>
      </c>
      <c r="F3" s="276" t="s">
        <v>198</v>
      </c>
      <c r="G3" s="349" t="s">
        <v>199</v>
      </c>
      <c r="H3" s="277" t="s">
        <v>200</v>
      </c>
    </row>
    <row r="4" spans="1:8" ht="29.25" customHeight="1">
      <c r="A4" s="279" t="s">
        <v>202</v>
      </c>
      <c r="B4" s="166">
        <v>21807</v>
      </c>
      <c r="C4" s="352">
        <v>3180</v>
      </c>
      <c r="D4" s="137">
        <f>C4/B4*100</f>
        <v>14.58247351767781</v>
      </c>
      <c r="E4" s="282" t="s">
        <v>203</v>
      </c>
      <c r="F4" s="166">
        <v>30286</v>
      </c>
      <c r="G4" s="352">
        <v>1900</v>
      </c>
      <c r="H4" s="285">
        <f>G4/F4*100</f>
        <v>6.273525721455458</v>
      </c>
    </row>
    <row r="5" spans="1:8" ht="29.25" customHeight="1">
      <c r="A5" s="279" t="s">
        <v>204</v>
      </c>
      <c r="B5" s="166">
        <v>50</v>
      </c>
      <c r="C5" s="352">
        <v>180</v>
      </c>
      <c r="D5" s="137">
        <f>C5/B5*100</f>
        <v>360</v>
      </c>
      <c r="E5" s="282" t="s">
        <v>223</v>
      </c>
      <c r="F5" s="166"/>
      <c r="G5" s="352"/>
      <c r="H5" s="285"/>
    </row>
    <row r="6" spans="1:8" ht="29.25" customHeight="1">
      <c r="A6" s="279" t="s">
        <v>206</v>
      </c>
      <c r="B6" s="166">
        <v>2800</v>
      </c>
      <c r="C6" s="352"/>
      <c r="D6" s="137"/>
      <c r="E6" s="282" t="s">
        <v>224</v>
      </c>
      <c r="F6" s="166"/>
      <c r="G6" s="352"/>
      <c r="H6" s="285"/>
    </row>
    <row r="7" spans="1:8" ht="29.25" customHeight="1">
      <c r="A7" s="279" t="s">
        <v>208</v>
      </c>
      <c r="B7" s="166"/>
      <c r="C7" s="352"/>
      <c r="D7" s="137"/>
      <c r="E7" s="282" t="s">
        <v>225</v>
      </c>
      <c r="F7" s="166"/>
      <c r="G7" s="352"/>
      <c r="H7" s="285"/>
    </row>
    <row r="8" spans="1:8" ht="29.25" customHeight="1">
      <c r="A8" s="279" t="s">
        <v>210</v>
      </c>
      <c r="B8" s="166"/>
      <c r="C8" s="352"/>
      <c r="D8" s="137"/>
      <c r="E8" s="282" t="s">
        <v>226</v>
      </c>
      <c r="F8" s="166"/>
      <c r="G8" s="352"/>
      <c r="H8" s="285"/>
    </row>
    <row r="9" spans="1:8" ht="29.25" customHeight="1">
      <c r="A9" s="279" t="s">
        <v>212</v>
      </c>
      <c r="B9" s="166"/>
      <c r="C9" s="352"/>
      <c r="D9" s="137"/>
      <c r="E9" s="282"/>
      <c r="F9" s="166"/>
      <c r="G9" s="352"/>
      <c r="H9" s="285"/>
    </row>
    <row r="10" spans="1:8" ht="29.25" customHeight="1">
      <c r="A10" s="279" t="s">
        <v>214</v>
      </c>
      <c r="B10" s="166"/>
      <c r="C10" s="352"/>
      <c r="D10" s="137"/>
      <c r="E10" s="282"/>
      <c r="F10" s="166"/>
      <c r="G10" s="352"/>
      <c r="H10" s="285"/>
    </row>
    <row r="11" spans="1:8" ht="29.25" customHeight="1">
      <c r="A11" s="279" t="s">
        <v>216</v>
      </c>
      <c r="B11" s="166">
        <f>SUM(B4:B10)</f>
        <v>24657</v>
      </c>
      <c r="C11" s="166">
        <f>SUM(C4:C10)</f>
        <v>3360</v>
      </c>
      <c r="D11" s="137">
        <f>C11/B11*100</f>
        <v>13.626961917508213</v>
      </c>
      <c r="E11" s="282" t="s">
        <v>227</v>
      </c>
      <c r="F11" s="166">
        <f>SUM(F4:F8)</f>
        <v>30286</v>
      </c>
      <c r="G11" s="166">
        <f>SUM(G4:G8)</f>
        <v>1900</v>
      </c>
      <c r="H11" s="285">
        <f>G11/F11*100</f>
        <v>6.273525721455458</v>
      </c>
    </row>
    <row r="12" spans="1:8" ht="29.25" customHeight="1">
      <c r="A12" s="239"/>
      <c r="B12" s="166"/>
      <c r="C12" s="352"/>
      <c r="D12" s="137"/>
      <c r="E12" s="282" t="s">
        <v>228</v>
      </c>
      <c r="F12" s="166">
        <f>+B11-F11</f>
        <v>-5629</v>
      </c>
      <c r="G12" s="166">
        <f>+C11-G11</f>
        <v>1460</v>
      </c>
      <c r="H12" s="285">
        <f>G12/F12*100</f>
        <v>-25.937111387457808</v>
      </c>
    </row>
    <row r="13" spans="1:8" ht="29.25" customHeight="1">
      <c r="A13" s="279" t="s">
        <v>219</v>
      </c>
      <c r="B13" s="166">
        <v>5700</v>
      </c>
      <c r="C13" s="352">
        <v>6876</v>
      </c>
      <c r="D13" s="137">
        <f>C13/B13*100</f>
        <v>120.63157894736842</v>
      </c>
      <c r="E13" s="282" t="s">
        <v>229</v>
      </c>
      <c r="F13" s="166">
        <f>+B13+F12</f>
        <v>71</v>
      </c>
      <c r="G13" s="166">
        <f>+C13+G12</f>
        <v>8336</v>
      </c>
      <c r="H13" s="285"/>
    </row>
    <row r="14" spans="1:8" ht="29.25" customHeight="1">
      <c r="A14" s="293" t="s">
        <v>221</v>
      </c>
      <c r="B14" s="288">
        <f aca="true" t="shared" si="0" ref="B14:G14">B13+B11</f>
        <v>30357</v>
      </c>
      <c r="C14" s="288">
        <f t="shared" si="0"/>
        <v>10236</v>
      </c>
      <c r="D14" s="137">
        <f>C14/B14*100</f>
        <v>33.71874691175017</v>
      </c>
      <c r="E14" s="294" t="s">
        <v>221</v>
      </c>
      <c r="F14" s="288">
        <f t="shared" si="0"/>
        <v>30357</v>
      </c>
      <c r="G14" s="288">
        <f t="shared" si="0"/>
        <v>10236</v>
      </c>
      <c r="H14" s="285">
        <f>G14/F14*100</f>
        <v>33.71874691175017</v>
      </c>
    </row>
    <row r="15" spans="1:8" ht="30" customHeight="1">
      <c r="A15" s="481" t="s">
        <v>230</v>
      </c>
      <c r="B15" s="481"/>
      <c r="C15" s="481"/>
      <c r="D15" s="481"/>
      <c r="E15" s="481"/>
      <c r="F15" s="481"/>
      <c r="G15" s="481"/>
      <c r="H15" s="481"/>
    </row>
    <row r="16" spans="6:7" ht="24.75" customHeight="1">
      <c r="F16" s="353"/>
      <c r="G16" s="353"/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</sheetData>
  <sheetProtection/>
  <mergeCells count="2">
    <mergeCell ref="A1:G1"/>
    <mergeCell ref="A15:H15"/>
  </mergeCells>
  <printOptions horizontalCentered="1"/>
  <pageMargins left="0.75" right="0.75" top="0.98" bottom="0.98" header="0.51" footer="0.79"/>
  <pageSetup firstPageNumber="20" useFirstPageNumber="1" horizontalDpi="600" verticalDpi="600" orientation="landscape" paperSize="9" scale="98"/>
  <headerFooter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6" sqref="D6"/>
    </sheetView>
  </sheetViews>
  <sheetFormatPr defaultColWidth="8.00390625" defaultRowHeight="14.25" customHeight="1"/>
  <cols>
    <col min="1" max="1" width="23.375" style="273" customWidth="1"/>
    <col min="2" max="3" width="10.625" style="273" customWidth="1"/>
    <col min="4" max="4" width="9.875" style="273" customWidth="1"/>
    <col min="5" max="5" width="20.125" style="273" customWidth="1"/>
    <col min="6" max="6" width="12.50390625" style="273" customWidth="1"/>
    <col min="7" max="7" width="12.125" style="273" customWidth="1"/>
    <col min="8" max="8" width="10.50390625" style="273" customWidth="1"/>
    <col min="9" max="16384" width="8.00390625" style="273" customWidth="1"/>
  </cols>
  <sheetData>
    <row r="1" spans="1:8" s="271" customFormat="1" ht="41.25" customHeight="1">
      <c r="A1" s="475" t="s">
        <v>231</v>
      </c>
      <c r="B1" s="475"/>
      <c r="C1" s="475"/>
      <c r="D1" s="475"/>
      <c r="E1" s="475"/>
      <c r="F1" s="475"/>
      <c r="G1" s="475"/>
      <c r="H1" s="475"/>
    </row>
    <row r="2" spans="1:8" ht="27.75" customHeight="1">
      <c r="A2" s="274"/>
      <c r="B2" s="274"/>
      <c r="C2" s="274"/>
      <c r="D2" s="274"/>
      <c r="E2" s="274"/>
      <c r="F2" s="275"/>
      <c r="H2" s="275" t="s">
        <v>196</v>
      </c>
    </row>
    <row r="3" spans="1:8" s="272" customFormat="1" ht="28.5">
      <c r="A3" s="239" t="s">
        <v>134</v>
      </c>
      <c r="B3" s="276" t="s">
        <v>198</v>
      </c>
      <c r="C3" s="276" t="s">
        <v>199</v>
      </c>
      <c r="D3" s="277" t="s">
        <v>200</v>
      </c>
      <c r="E3" s="239" t="s">
        <v>232</v>
      </c>
      <c r="F3" s="276" t="s">
        <v>198</v>
      </c>
      <c r="G3" s="276" t="s">
        <v>199</v>
      </c>
      <c r="H3" s="278" t="s">
        <v>200</v>
      </c>
    </row>
    <row r="4" spans="1:8" ht="23.25" customHeight="1">
      <c r="A4" s="279" t="s">
        <v>233</v>
      </c>
      <c r="B4" s="332">
        <v>2377</v>
      </c>
      <c r="C4" s="332">
        <v>2100</v>
      </c>
      <c r="D4" s="281">
        <f>C4/B4*100</f>
        <v>88.34665544804375</v>
      </c>
      <c r="E4" s="282" t="s">
        <v>234</v>
      </c>
      <c r="F4" s="332">
        <v>1857</v>
      </c>
      <c r="G4" s="333">
        <v>1599</v>
      </c>
      <c r="H4" s="284">
        <f>G4/F4*100</f>
        <v>86.10662358642972</v>
      </c>
    </row>
    <row r="5" spans="1:8" ht="23.25" customHeight="1">
      <c r="A5" s="279" t="s">
        <v>204</v>
      </c>
      <c r="B5" s="332">
        <v>36</v>
      </c>
      <c r="C5" s="332">
        <v>47</v>
      </c>
      <c r="D5" s="281">
        <f>C5/B5*100</f>
        <v>130.55555555555557</v>
      </c>
      <c r="E5" s="282" t="s">
        <v>205</v>
      </c>
      <c r="F5" s="332"/>
      <c r="G5" s="333"/>
      <c r="H5" s="285"/>
    </row>
    <row r="6" spans="1:8" ht="23.25" customHeight="1">
      <c r="A6" s="279" t="s">
        <v>206</v>
      </c>
      <c r="B6" s="334"/>
      <c r="C6" s="334"/>
      <c r="D6" s="335"/>
      <c r="E6" s="287" t="s">
        <v>207</v>
      </c>
      <c r="F6" s="334"/>
      <c r="G6" s="336"/>
      <c r="H6" s="337"/>
    </row>
    <row r="7" spans="1:8" ht="23.25" customHeight="1">
      <c r="A7" s="338"/>
      <c r="B7" s="339"/>
      <c r="C7" s="339"/>
      <c r="D7" s="284"/>
      <c r="E7" s="300" t="s">
        <v>235</v>
      </c>
      <c r="F7" s="339"/>
      <c r="G7" s="339"/>
      <c r="H7" s="285"/>
    </row>
    <row r="8" spans="1:8" ht="23.25" customHeight="1">
      <c r="A8" s="340"/>
      <c r="B8" s="339"/>
      <c r="C8" s="339"/>
      <c r="D8" s="284"/>
      <c r="E8" s="300" t="s">
        <v>236</v>
      </c>
      <c r="F8" s="339"/>
      <c r="G8" s="339"/>
      <c r="H8" s="285"/>
    </row>
    <row r="9" spans="1:8" ht="23.25" customHeight="1">
      <c r="A9" s="341"/>
      <c r="B9" s="339"/>
      <c r="C9" s="339"/>
      <c r="D9" s="284"/>
      <c r="E9" s="300" t="s">
        <v>237</v>
      </c>
      <c r="F9" s="339"/>
      <c r="G9" s="339"/>
      <c r="H9" s="285"/>
    </row>
    <row r="10" spans="1:8" ht="23.25" customHeight="1">
      <c r="A10" s="342" t="s">
        <v>208</v>
      </c>
      <c r="B10" s="339"/>
      <c r="C10" s="339"/>
      <c r="D10" s="284"/>
      <c r="E10" s="300" t="s">
        <v>238</v>
      </c>
      <c r="F10" s="339"/>
      <c r="G10" s="339"/>
      <c r="H10" s="285"/>
    </row>
    <row r="11" spans="1:8" ht="23.25" customHeight="1">
      <c r="A11" s="342" t="s">
        <v>210</v>
      </c>
      <c r="B11" s="339"/>
      <c r="C11" s="339"/>
      <c r="D11" s="284"/>
      <c r="E11" s="300" t="s">
        <v>239</v>
      </c>
      <c r="F11" s="339"/>
      <c r="G11" s="339"/>
      <c r="H11" s="285"/>
    </row>
    <row r="12" spans="1:8" ht="23.25" customHeight="1">
      <c r="A12" s="342" t="s">
        <v>212</v>
      </c>
      <c r="B12" s="339">
        <v>124</v>
      </c>
      <c r="C12" s="339">
        <v>189</v>
      </c>
      <c r="D12" s="281">
        <f aca="true" t="shared" si="0" ref="D12:D17">C12/B12*100</f>
        <v>152.41935483870967</v>
      </c>
      <c r="E12" s="300" t="s">
        <v>240</v>
      </c>
      <c r="F12" s="339">
        <v>311</v>
      </c>
      <c r="G12" s="339">
        <v>132</v>
      </c>
      <c r="H12" s="281">
        <f aca="true" t="shared" si="1" ref="H12:H17">G12/F12*100</f>
        <v>42.443729903536976</v>
      </c>
    </row>
    <row r="13" spans="1:8" ht="23.25" customHeight="1">
      <c r="A13" s="342" t="s">
        <v>214</v>
      </c>
      <c r="B13" s="339"/>
      <c r="C13" s="339"/>
      <c r="D13" s="284"/>
      <c r="E13" s="300" t="s">
        <v>241</v>
      </c>
      <c r="F13" s="339"/>
      <c r="G13" s="339"/>
      <c r="H13" s="285"/>
    </row>
    <row r="14" spans="1:8" ht="23.25" customHeight="1">
      <c r="A14" s="279" t="s">
        <v>216</v>
      </c>
      <c r="B14" s="343">
        <f aca="true" t="shared" si="2" ref="B14:G14">SUM(B4:B13)</f>
        <v>2537</v>
      </c>
      <c r="C14" s="343">
        <f t="shared" si="2"/>
        <v>2336</v>
      </c>
      <c r="D14" s="281">
        <f t="shared" si="0"/>
        <v>92.07725660228616</v>
      </c>
      <c r="E14" s="344" t="s">
        <v>242</v>
      </c>
      <c r="F14" s="345">
        <f t="shared" si="2"/>
        <v>2168</v>
      </c>
      <c r="G14" s="339">
        <f t="shared" si="2"/>
        <v>1731</v>
      </c>
      <c r="H14" s="281">
        <f t="shared" si="1"/>
        <v>79.84317343173431</v>
      </c>
    </row>
    <row r="15" spans="1:8" ht="23.25" customHeight="1">
      <c r="A15" s="239"/>
      <c r="B15" s="332"/>
      <c r="C15" s="332"/>
      <c r="D15" s="281"/>
      <c r="E15" s="286" t="s">
        <v>243</v>
      </c>
      <c r="F15" s="288">
        <f>+B14-F14</f>
        <v>369</v>
      </c>
      <c r="G15" s="288">
        <f>+C14-G14</f>
        <v>605</v>
      </c>
      <c r="H15" s="281">
        <f t="shared" si="1"/>
        <v>163.95663956639567</v>
      </c>
    </row>
    <row r="16" spans="1:8" ht="23.25" customHeight="1">
      <c r="A16" s="279" t="s">
        <v>219</v>
      </c>
      <c r="B16" s="332">
        <v>3249</v>
      </c>
      <c r="C16" s="332">
        <v>3409</v>
      </c>
      <c r="D16" s="281">
        <f t="shared" si="0"/>
        <v>104.9245921822099</v>
      </c>
      <c r="E16" s="286" t="s">
        <v>244</v>
      </c>
      <c r="F16" s="346">
        <f>+B16+F15</f>
        <v>3618</v>
      </c>
      <c r="G16" s="346">
        <f>+C16+G15</f>
        <v>4014</v>
      </c>
      <c r="H16" s="281">
        <f t="shared" si="1"/>
        <v>110.94527363184079</v>
      </c>
    </row>
    <row r="17" spans="1:8" ht="23.25" customHeight="1">
      <c r="A17" s="293" t="s">
        <v>221</v>
      </c>
      <c r="B17" s="288">
        <f aca="true" t="shared" si="3" ref="B17:G17">B16+B14</f>
        <v>5786</v>
      </c>
      <c r="C17" s="288">
        <f t="shared" si="3"/>
        <v>5745</v>
      </c>
      <c r="D17" s="281">
        <f t="shared" si="0"/>
        <v>99.29139301762876</v>
      </c>
      <c r="E17" s="347" t="s">
        <v>221</v>
      </c>
      <c r="F17" s="288">
        <f t="shared" si="3"/>
        <v>5786</v>
      </c>
      <c r="G17" s="288">
        <f t="shared" si="3"/>
        <v>5745</v>
      </c>
      <c r="H17" s="281">
        <f t="shared" si="1"/>
        <v>99.29139301762876</v>
      </c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9" spans="5:10" ht="14.25" customHeight="1">
      <c r="E29" s="482"/>
      <c r="F29" s="482"/>
      <c r="G29" s="482"/>
      <c r="H29" s="482"/>
      <c r="I29" s="482"/>
      <c r="J29" s="482"/>
    </row>
  </sheetData>
  <sheetProtection/>
  <mergeCells count="2">
    <mergeCell ref="A1:H1"/>
    <mergeCell ref="E29:J29"/>
  </mergeCells>
  <printOptions horizontalCentered="1"/>
  <pageMargins left="0.75" right="0.75" top="0.98" bottom="0.98" header="0.51" footer="0.79"/>
  <pageSetup firstPageNumber="21" useFirstPageNumber="1" horizontalDpi="600" verticalDpi="600" orientation="landscape" paperSize="9"/>
  <headerFooter alignWithMargins="0"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D6" sqref="D6"/>
    </sheetView>
  </sheetViews>
  <sheetFormatPr defaultColWidth="8.00390625" defaultRowHeight="14.25" customHeight="1"/>
  <cols>
    <col min="1" max="1" width="21.875" style="273" customWidth="1"/>
    <col min="2" max="2" width="11.75390625" style="273" customWidth="1"/>
    <col min="3" max="3" width="12.00390625" style="273" customWidth="1"/>
    <col min="4" max="4" width="11.125" style="273" customWidth="1"/>
    <col min="5" max="5" width="23.75390625" style="273" customWidth="1"/>
    <col min="6" max="6" width="12.125" style="273" customWidth="1"/>
    <col min="7" max="7" width="11.875" style="273" customWidth="1"/>
    <col min="8" max="8" width="11.125" style="273" customWidth="1"/>
    <col min="9" max="16384" width="8.00390625" style="273" customWidth="1"/>
  </cols>
  <sheetData>
    <row r="1" spans="1:8" s="271" customFormat="1" ht="39.75" customHeight="1">
      <c r="A1" s="475" t="s">
        <v>245</v>
      </c>
      <c r="B1" s="475"/>
      <c r="C1" s="475"/>
      <c r="D1" s="475"/>
      <c r="E1" s="475"/>
      <c r="F1" s="475"/>
      <c r="G1" s="475"/>
      <c r="H1" s="475"/>
    </row>
    <row r="2" spans="1:8" ht="28.5" customHeight="1">
      <c r="A2" s="303"/>
      <c r="B2" s="303"/>
      <c r="C2" s="303"/>
      <c r="D2" s="304"/>
      <c r="E2" s="305"/>
      <c r="F2" s="305"/>
      <c r="G2" s="305"/>
      <c r="H2" s="306" t="s">
        <v>196</v>
      </c>
    </row>
    <row r="3" spans="1:8" ht="30.75" customHeight="1">
      <c r="A3" s="307" t="s">
        <v>201</v>
      </c>
      <c r="B3" s="308" t="s">
        <v>246</v>
      </c>
      <c r="C3" s="308" t="s">
        <v>247</v>
      </c>
      <c r="D3" s="308" t="s">
        <v>248</v>
      </c>
      <c r="E3" s="307" t="s">
        <v>201</v>
      </c>
      <c r="F3" s="308" t="s">
        <v>246</v>
      </c>
      <c r="G3" s="308" t="s">
        <v>247</v>
      </c>
      <c r="H3" s="308" t="s">
        <v>248</v>
      </c>
    </row>
    <row r="4" spans="1:8" ht="29.25" customHeight="1">
      <c r="A4" s="309" t="s">
        <v>249</v>
      </c>
      <c r="B4" s="310">
        <v>27533</v>
      </c>
      <c r="C4" s="311">
        <v>31830</v>
      </c>
      <c r="D4" s="312">
        <f>C4/B4*100</f>
        <v>115.60672647368612</v>
      </c>
      <c r="E4" s="313" t="s">
        <v>250</v>
      </c>
      <c r="F4" s="314">
        <v>23926</v>
      </c>
      <c r="G4" s="314">
        <v>29285</v>
      </c>
      <c r="H4" s="312">
        <f>G4/F4*100</f>
        <v>122.39822786926355</v>
      </c>
    </row>
    <row r="5" spans="1:8" ht="29.25" customHeight="1">
      <c r="A5" s="315" t="s">
        <v>204</v>
      </c>
      <c r="B5" s="299">
        <v>1181</v>
      </c>
      <c r="C5" s="316">
        <v>1637</v>
      </c>
      <c r="D5" s="317">
        <f>C5/B5*100</f>
        <v>138.61134631668077</v>
      </c>
      <c r="E5" s="318" t="s">
        <v>251</v>
      </c>
      <c r="F5" s="319"/>
      <c r="G5" s="319"/>
      <c r="H5" s="285"/>
    </row>
    <row r="6" spans="1:8" ht="29.25" customHeight="1">
      <c r="A6" s="315" t="s">
        <v>206</v>
      </c>
      <c r="B6" s="319"/>
      <c r="C6" s="319"/>
      <c r="D6" s="317"/>
      <c r="E6" s="318" t="s">
        <v>252</v>
      </c>
      <c r="F6" s="319"/>
      <c r="G6" s="319"/>
      <c r="H6" s="285"/>
    </row>
    <row r="7" spans="1:8" ht="29.25" customHeight="1">
      <c r="A7" s="315" t="s">
        <v>253</v>
      </c>
      <c r="B7" s="319"/>
      <c r="C7" s="319"/>
      <c r="D7" s="317"/>
      <c r="E7" s="318" t="s">
        <v>254</v>
      </c>
      <c r="F7" s="319"/>
      <c r="G7" s="319"/>
      <c r="H7" s="285"/>
    </row>
    <row r="8" spans="1:8" ht="29.25" customHeight="1">
      <c r="A8" s="315" t="s">
        <v>255</v>
      </c>
      <c r="B8" s="319"/>
      <c r="C8" s="319"/>
      <c r="D8" s="317"/>
      <c r="E8" s="318" t="s">
        <v>256</v>
      </c>
      <c r="F8" s="319"/>
      <c r="G8" s="319"/>
      <c r="H8" s="285"/>
    </row>
    <row r="9" spans="1:8" ht="29.25" customHeight="1">
      <c r="A9" s="320" t="s">
        <v>257</v>
      </c>
      <c r="B9" s="299"/>
      <c r="C9" s="299"/>
      <c r="D9" s="317"/>
      <c r="E9" s="321"/>
      <c r="F9" s="322"/>
      <c r="G9" s="322"/>
      <c r="H9" s="285"/>
    </row>
    <row r="10" spans="1:8" ht="29.25" customHeight="1">
      <c r="A10" s="323" t="s">
        <v>258</v>
      </c>
      <c r="B10" s="319"/>
      <c r="C10" s="319"/>
      <c r="D10" s="317"/>
      <c r="E10" s="324"/>
      <c r="F10" s="325"/>
      <c r="G10" s="325"/>
      <c r="H10" s="285"/>
    </row>
    <row r="11" spans="1:8" ht="29.25" customHeight="1">
      <c r="A11" s="326" t="s">
        <v>216</v>
      </c>
      <c r="B11" s="299">
        <f>SUM(B4:B10)</f>
        <v>28714</v>
      </c>
      <c r="C11" s="299">
        <f>SUM(C4:C10)</f>
        <v>33467</v>
      </c>
      <c r="D11" s="317">
        <f>C11/B11*100</f>
        <v>116.55290102389077</v>
      </c>
      <c r="E11" s="326" t="s">
        <v>227</v>
      </c>
      <c r="F11" s="314">
        <f>SUM(F4:F8)</f>
        <v>23926</v>
      </c>
      <c r="G11" s="314">
        <f>SUM(G4:G8)</f>
        <v>29285</v>
      </c>
      <c r="H11" s="317">
        <f>G11/F11*100</f>
        <v>122.39822786926355</v>
      </c>
    </row>
    <row r="12" spans="1:8" ht="29.25" customHeight="1">
      <c r="A12" s="315"/>
      <c r="B12" s="299"/>
      <c r="C12" s="299"/>
      <c r="D12" s="317"/>
      <c r="E12" s="315" t="s">
        <v>228</v>
      </c>
      <c r="F12" s="319">
        <v>4788</v>
      </c>
      <c r="G12" s="319">
        <v>4182</v>
      </c>
      <c r="H12" s="317">
        <f>G12/F12*100</f>
        <v>87.34335839598998</v>
      </c>
    </row>
    <row r="13" spans="1:8" ht="29.25" customHeight="1">
      <c r="A13" s="315" t="s">
        <v>219</v>
      </c>
      <c r="B13" s="319">
        <v>54489</v>
      </c>
      <c r="C13" s="319">
        <v>54199</v>
      </c>
      <c r="D13" s="317">
        <f>C13/B13*100</f>
        <v>99.46778248820863</v>
      </c>
      <c r="E13" s="315" t="s">
        <v>229</v>
      </c>
      <c r="F13" s="319">
        <v>59277</v>
      </c>
      <c r="G13" s="319">
        <v>58381</v>
      </c>
      <c r="H13" s="317">
        <f>G13/F13*100</f>
        <v>98.48845251952697</v>
      </c>
    </row>
    <row r="14" spans="1:8" ht="29.25" customHeight="1">
      <c r="A14" s="293" t="s">
        <v>259</v>
      </c>
      <c r="B14" s="288">
        <f aca="true" t="shared" si="0" ref="B14:G14">B13+B11</f>
        <v>83203</v>
      </c>
      <c r="C14" s="288">
        <f t="shared" si="0"/>
        <v>87666</v>
      </c>
      <c r="D14" s="317">
        <f>C14/B14*100</f>
        <v>105.36398927923271</v>
      </c>
      <c r="E14" s="327" t="s">
        <v>260</v>
      </c>
      <c r="F14" s="288">
        <f t="shared" si="0"/>
        <v>83203</v>
      </c>
      <c r="G14" s="288">
        <f t="shared" si="0"/>
        <v>87666</v>
      </c>
      <c r="H14" s="317">
        <f>G14/F14*100</f>
        <v>105.36398927923271</v>
      </c>
    </row>
    <row r="15" ht="24.75" customHeight="1">
      <c r="E15" s="328"/>
    </row>
    <row r="16" ht="24.75" customHeight="1">
      <c r="E16" s="328"/>
    </row>
    <row r="17" ht="24.75" customHeight="1">
      <c r="E17" s="328"/>
    </row>
    <row r="18" ht="24.75" customHeight="1">
      <c r="E18" s="328"/>
    </row>
    <row r="19" ht="24.75" customHeight="1">
      <c r="E19" s="328"/>
    </row>
    <row r="20" ht="24.75" customHeight="1">
      <c r="E20" s="328"/>
    </row>
    <row r="21" ht="24.75" customHeight="1">
      <c r="E21" s="328"/>
    </row>
    <row r="22" ht="24.75" customHeight="1">
      <c r="E22" s="328"/>
    </row>
    <row r="23" ht="24.75" customHeight="1">
      <c r="E23" s="328"/>
    </row>
    <row r="24" ht="24.75" customHeight="1">
      <c r="E24" s="328"/>
    </row>
    <row r="25" ht="22.5" customHeight="1">
      <c r="E25" s="328"/>
    </row>
    <row r="26" ht="22.5" customHeight="1">
      <c r="E26" s="328"/>
    </row>
    <row r="27" spans="1:5" ht="21" customHeight="1">
      <c r="A27" s="329"/>
      <c r="B27" s="330"/>
      <c r="C27" s="330"/>
      <c r="D27" s="331"/>
      <c r="E27" s="328"/>
    </row>
    <row r="28" spans="2:5" ht="14.25" customHeight="1">
      <c r="B28" s="328"/>
      <c r="C28" s="328"/>
      <c r="D28" s="328"/>
      <c r="E28" s="328"/>
    </row>
    <row r="29" spans="2:5" ht="14.25" customHeight="1">
      <c r="B29" s="328"/>
      <c r="C29" s="328"/>
      <c r="D29" s="328"/>
      <c r="E29" s="328"/>
    </row>
    <row r="30" spans="2:5" ht="14.25" customHeight="1">
      <c r="B30" s="328"/>
      <c r="C30" s="328"/>
      <c r="D30" s="328"/>
      <c r="E30" s="328"/>
    </row>
    <row r="31" spans="2:5" ht="14.25" customHeight="1">
      <c r="B31" s="328"/>
      <c r="C31" s="328"/>
      <c r="D31" s="328"/>
      <c r="E31" s="328"/>
    </row>
    <row r="32" spans="2:5" ht="14.25" customHeight="1">
      <c r="B32" s="328"/>
      <c r="C32" s="328"/>
      <c r="D32" s="328"/>
      <c r="E32" s="328"/>
    </row>
    <row r="33" spans="2:5" ht="14.25" customHeight="1">
      <c r="B33" s="328"/>
      <c r="C33" s="328"/>
      <c r="D33" s="328"/>
      <c r="E33" s="328"/>
    </row>
  </sheetData>
  <sheetProtection/>
  <mergeCells count="1">
    <mergeCell ref="A1:H1"/>
  </mergeCells>
  <printOptions horizontalCentered="1"/>
  <pageMargins left="0.75" right="0.75" top="0.98" bottom="0.98" header="0.51" footer="0.79"/>
  <pageSetup firstPageNumber="22" useFirstPageNumber="1" horizontalDpi="600" verticalDpi="600" orientation="landscape" paperSize="9" r:id="rId1"/>
  <headerFooter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6" sqref="D6"/>
    </sheetView>
  </sheetViews>
  <sheetFormatPr defaultColWidth="8.00390625" defaultRowHeight="14.25" customHeight="1"/>
  <cols>
    <col min="1" max="1" width="23.375" style="273" customWidth="1"/>
    <col min="2" max="4" width="12.125" style="273" customWidth="1"/>
    <col min="5" max="5" width="19.50390625" style="273" customWidth="1"/>
    <col min="6" max="8" width="12.125" style="273" customWidth="1"/>
    <col min="9" max="16384" width="8.00390625" style="273" customWidth="1"/>
  </cols>
  <sheetData>
    <row r="1" spans="1:8" s="271" customFormat="1" ht="56.25" customHeight="1">
      <c r="A1" s="475" t="s">
        <v>261</v>
      </c>
      <c r="B1" s="475"/>
      <c r="C1" s="475"/>
      <c r="D1" s="475"/>
      <c r="E1" s="475"/>
      <c r="F1" s="475"/>
      <c r="G1" s="475"/>
      <c r="H1" s="475"/>
    </row>
    <row r="2" spans="1:8" ht="24.75" customHeight="1">
      <c r="A2" s="295"/>
      <c r="B2" s="295"/>
      <c r="C2" s="295"/>
      <c r="D2" s="295"/>
      <c r="E2" s="295"/>
      <c r="F2" s="296"/>
      <c r="H2" s="296" t="s">
        <v>262</v>
      </c>
    </row>
    <row r="3" spans="1:8" s="272" customFormat="1" ht="29.25" customHeight="1">
      <c r="A3" s="297" t="s">
        <v>134</v>
      </c>
      <c r="B3" s="276" t="s">
        <v>198</v>
      </c>
      <c r="C3" s="276" t="s">
        <v>199</v>
      </c>
      <c r="D3" s="277" t="s">
        <v>200</v>
      </c>
      <c r="E3" s="297" t="s">
        <v>197</v>
      </c>
      <c r="F3" s="276" t="s">
        <v>198</v>
      </c>
      <c r="G3" s="276" t="s">
        <v>199</v>
      </c>
      <c r="H3" s="277" t="s">
        <v>200</v>
      </c>
    </row>
    <row r="4" spans="1:8" ht="28.5" customHeight="1">
      <c r="A4" s="298" t="s">
        <v>263</v>
      </c>
      <c r="B4" s="299">
        <v>4150</v>
      </c>
      <c r="C4" s="299">
        <v>5197</v>
      </c>
      <c r="D4" s="284">
        <f>C4/B4*100</f>
        <v>125.22891566265059</v>
      </c>
      <c r="E4" s="300" t="s">
        <v>264</v>
      </c>
      <c r="F4" s="299">
        <v>3298</v>
      </c>
      <c r="G4" s="299">
        <v>4527</v>
      </c>
      <c r="H4" s="284">
        <f>G4/F4*100</f>
        <v>137.26500909642206</v>
      </c>
    </row>
    <row r="5" spans="1:8" ht="28.5" customHeight="1">
      <c r="A5" s="298" t="s">
        <v>204</v>
      </c>
      <c r="B5" s="299">
        <v>515</v>
      </c>
      <c r="C5" s="299">
        <v>361</v>
      </c>
      <c r="D5" s="284">
        <f>C5/B5*100</f>
        <v>70.09708737864078</v>
      </c>
      <c r="E5" s="300" t="s">
        <v>265</v>
      </c>
      <c r="F5" s="299"/>
      <c r="G5" s="299"/>
      <c r="H5" s="285"/>
    </row>
    <row r="6" spans="1:8" ht="28.5" customHeight="1">
      <c r="A6" s="298" t="s">
        <v>206</v>
      </c>
      <c r="B6" s="299"/>
      <c r="C6" s="299"/>
      <c r="D6" s="284"/>
      <c r="E6" s="300" t="s">
        <v>266</v>
      </c>
      <c r="F6" s="299"/>
      <c r="G6" s="299"/>
      <c r="H6" s="285"/>
    </row>
    <row r="7" spans="1:8" ht="28.5" customHeight="1">
      <c r="A7" s="298" t="s">
        <v>208</v>
      </c>
      <c r="B7" s="299"/>
      <c r="C7" s="299"/>
      <c r="D7" s="284"/>
      <c r="E7" s="300" t="s">
        <v>209</v>
      </c>
      <c r="F7" s="299"/>
      <c r="G7" s="299"/>
      <c r="H7" s="285"/>
    </row>
    <row r="8" spans="1:8" ht="28.5" customHeight="1">
      <c r="A8" s="298" t="s">
        <v>267</v>
      </c>
      <c r="B8" s="299"/>
      <c r="C8" s="299"/>
      <c r="D8" s="284"/>
      <c r="E8" s="300" t="s">
        <v>226</v>
      </c>
      <c r="F8" s="299"/>
      <c r="G8" s="299"/>
      <c r="H8" s="285"/>
    </row>
    <row r="9" spans="1:8" ht="28.5" customHeight="1">
      <c r="A9" s="298" t="s">
        <v>257</v>
      </c>
      <c r="B9" s="299"/>
      <c r="C9" s="299"/>
      <c r="D9" s="284"/>
      <c r="E9" s="300" t="s">
        <v>268</v>
      </c>
      <c r="F9" s="299"/>
      <c r="G9" s="299">
        <v>500</v>
      </c>
      <c r="H9" s="284"/>
    </row>
    <row r="10" spans="1:8" ht="28.5" customHeight="1">
      <c r="A10" s="298" t="s">
        <v>258</v>
      </c>
      <c r="B10" s="299">
        <v>692</v>
      </c>
      <c r="C10" s="299">
        <v>691</v>
      </c>
      <c r="D10" s="284">
        <f>C10/B10*100</f>
        <v>99.85549132947978</v>
      </c>
      <c r="E10" s="300" t="s">
        <v>269</v>
      </c>
      <c r="F10" s="299">
        <v>526</v>
      </c>
      <c r="G10" s="299">
        <v>406</v>
      </c>
      <c r="H10" s="284">
        <f>G10/F10*100</f>
        <v>77.18631178707224</v>
      </c>
    </row>
    <row r="11" spans="1:8" ht="28.5" customHeight="1">
      <c r="A11" s="298" t="s">
        <v>216</v>
      </c>
      <c r="B11" s="299">
        <f aca="true" t="shared" si="0" ref="B11:G11">SUM(B4:B10)</f>
        <v>5357</v>
      </c>
      <c r="C11" s="299">
        <f t="shared" si="0"/>
        <v>6249</v>
      </c>
      <c r="D11" s="284">
        <f>C11/B11*100</f>
        <v>116.65111069628524</v>
      </c>
      <c r="E11" s="300" t="s">
        <v>217</v>
      </c>
      <c r="F11" s="299">
        <f t="shared" si="0"/>
        <v>3824</v>
      </c>
      <c r="G11" s="299">
        <f t="shared" si="0"/>
        <v>5433</v>
      </c>
      <c r="H11" s="284">
        <f>G11/F11*100</f>
        <v>142.07635983263597</v>
      </c>
    </row>
    <row r="12" spans="1:8" ht="28.5" customHeight="1">
      <c r="A12" s="297"/>
      <c r="B12" s="299"/>
      <c r="C12" s="299"/>
      <c r="D12" s="284"/>
      <c r="E12" s="300" t="s">
        <v>218</v>
      </c>
      <c r="F12" s="299">
        <v>1533</v>
      </c>
      <c r="G12" s="299">
        <v>816</v>
      </c>
      <c r="H12" s="284">
        <f>G12/F12*100</f>
        <v>53.22896281800391</v>
      </c>
    </row>
    <row r="13" spans="1:8" ht="28.5" customHeight="1">
      <c r="A13" s="298" t="s">
        <v>219</v>
      </c>
      <c r="B13" s="299">
        <v>15213</v>
      </c>
      <c r="C13" s="299">
        <v>14846</v>
      </c>
      <c r="D13" s="284">
        <f>C13/B13*100</f>
        <v>97.5875895615592</v>
      </c>
      <c r="E13" s="300" t="s">
        <v>220</v>
      </c>
      <c r="F13" s="299">
        <v>16746</v>
      </c>
      <c r="G13" s="299">
        <v>15662</v>
      </c>
      <c r="H13" s="284">
        <f>G13/F13*100</f>
        <v>93.52681237310404</v>
      </c>
    </row>
    <row r="14" spans="1:8" ht="28.5" customHeight="1">
      <c r="A14" s="301" t="s">
        <v>221</v>
      </c>
      <c r="B14" s="288">
        <f aca="true" t="shared" si="1" ref="B14:G14">B13+B11</f>
        <v>20570</v>
      </c>
      <c r="C14" s="288">
        <f t="shared" si="1"/>
        <v>21095</v>
      </c>
      <c r="D14" s="284">
        <f>C14/B14*100</f>
        <v>102.55226057365094</v>
      </c>
      <c r="E14" s="302" t="s">
        <v>221</v>
      </c>
      <c r="F14" s="288">
        <f t="shared" si="1"/>
        <v>20570</v>
      </c>
      <c r="G14" s="288">
        <f t="shared" si="1"/>
        <v>21095</v>
      </c>
      <c r="H14" s="284">
        <f>G14/F14*100</f>
        <v>102.55226057365094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</sheetData>
  <sheetProtection/>
  <mergeCells count="1">
    <mergeCell ref="A1:H1"/>
  </mergeCells>
  <printOptions horizontalCentered="1"/>
  <pageMargins left="0.75" right="0.75" top="0.98" bottom="0.98" header="0.51" footer="0.79"/>
  <pageSetup firstPageNumber="23" useFirstPageNumber="1" horizontalDpi="600" verticalDpi="600" orientation="landscape" paperSize="9"/>
  <headerFooter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6" sqref="D6"/>
    </sheetView>
  </sheetViews>
  <sheetFormatPr defaultColWidth="8.00390625" defaultRowHeight="14.25" customHeight="1"/>
  <cols>
    <col min="1" max="1" width="23.25390625" style="273" customWidth="1"/>
    <col min="2" max="4" width="11.50390625" style="273" customWidth="1"/>
    <col min="5" max="5" width="22.25390625" style="273" customWidth="1"/>
    <col min="6" max="6" width="12.00390625" style="273" customWidth="1"/>
    <col min="7" max="7" width="12.50390625" style="273" customWidth="1"/>
    <col min="8" max="8" width="10.125" style="273" customWidth="1"/>
    <col min="9" max="16384" width="8.00390625" style="273" customWidth="1"/>
  </cols>
  <sheetData>
    <row r="1" spans="1:8" s="271" customFormat="1" ht="53.25" customHeight="1">
      <c r="A1" s="475" t="s">
        <v>270</v>
      </c>
      <c r="B1" s="475"/>
      <c r="C1" s="475"/>
      <c r="D1" s="475"/>
      <c r="E1" s="475"/>
      <c r="F1" s="475"/>
      <c r="G1" s="475"/>
      <c r="H1" s="475"/>
    </row>
    <row r="2" spans="1:8" ht="24.75" customHeight="1">
      <c r="A2" s="274"/>
      <c r="B2" s="274"/>
      <c r="C2" s="274"/>
      <c r="D2" s="274"/>
      <c r="E2" s="274"/>
      <c r="F2" s="275"/>
      <c r="H2" s="275" t="s">
        <v>196</v>
      </c>
    </row>
    <row r="3" spans="1:8" s="272" customFormat="1" ht="28.5">
      <c r="A3" s="239" t="s">
        <v>201</v>
      </c>
      <c r="B3" s="276" t="s">
        <v>198</v>
      </c>
      <c r="C3" s="276" t="s">
        <v>199</v>
      </c>
      <c r="D3" s="277" t="s">
        <v>200</v>
      </c>
      <c r="E3" s="239" t="s">
        <v>134</v>
      </c>
      <c r="F3" s="276" t="s">
        <v>198</v>
      </c>
      <c r="G3" s="276" t="s">
        <v>199</v>
      </c>
      <c r="H3" s="278" t="s">
        <v>200</v>
      </c>
    </row>
    <row r="4" spans="1:8" ht="29.25" customHeight="1">
      <c r="A4" s="279" t="s">
        <v>271</v>
      </c>
      <c r="B4" s="280">
        <v>1202</v>
      </c>
      <c r="C4" s="280">
        <v>1289</v>
      </c>
      <c r="D4" s="281">
        <f>C4/B4*100</f>
        <v>107.23793677204658</v>
      </c>
      <c r="E4" s="282" t="s">
        <v>272</v>
      </c>
      <c r="F4" s="280">
        <v>1100</v>
      </c>
      <c r="G4" s="283">
        <v>1446</v>
      </c>
      <c r="H4" s="284">
        <f>G4/F4*100</f>
        <v>131.45454545454544</v>
      </c>
    </row>
    <row r="5" spans="1:8" ht="29.25" customHeight="1">
      <c r="A5" s="279" t="s">
        <v>204</v>
      </c>
      <c r="B5" s="280">
        <v>30</v>
      </c>
      <c r="C5" s="280">
        <v>80</v>
      </c>
      <c r="D5" s="281">
        <f>C5/B5*100</f>
        <v>266.66666666666663</v>
      </c>
      <c r="E5" s="282" t="s">
        <v>273</v>
      </c>
      <c r="F5" s="280"/>
      <c r="G5" s="283"/>
      <c r="H5" s="285"/>
    </row>
    <row r="6" spans="1:8" ht="29.25" customHeight="1">
      <c r="A6" s="279" t="s">
        <v>206</v>
      </c>
      <c r="B6" s="280"/>
      <c r="C6" s="280"/>
      <c r="D6" s="281"/>
      <c r="E6" s="286" t="s">
        <v>252</v>
      </c>
      <c r="F6" s="280"/>
      <c r="G6" s="283"/>
      <c r="H6" s="285"/>
    </row>
    <row r="7" spans="1:8" ht="29.25" customHeight="1">
      <c r="A7" s="279" t="s">
        <v>208</v>
      </c>
      <c r="B7" s="280"/>
      <c r="C7" s="280"/>
      <c r="D7" s="281"/>
      <c r="E7" s="282" t="s">
        <v>274</v>
      </c>
      <c r="F7" s="280"/>
      <c r="G7" s="283"/>
      <c r="H7" s="285"/>
    </row>
    <row r="8" spans="1:8" ht="29.25" customHeight="1">
      <c r="A8" s="279" t="s">
        <v>267</v>
      </c>
      <c r="B8" s="280"/>
      <c r="C8" s="280"/>
      <c r="D8" s="281"/>
      <c r="E8" s="282" t="s">
        <v>211</v>
      </c>
      <c r="F8" s="280"/>
      <c r="G8" s="283"/>
      <c r="H8" s="285"/>
    </row>
    <row r="9" spans="1:8" ht="29.25" customHeight="1">
      <c r="A9" s="279" t="s">
        <v>257</v>
      </c>
      <c r="B9" s="280"/>
      <c r="C9" s="280"/>
      <c r="D9" s="281"/>
      <c r="E9" s="287" t="s">
        <v>213</v>
      </c>
      <c r="F9" s="288"/>
      <c r="G9" s="289"/>
      <c r="H9" s="285"/>
    </row>
    <row r="10" spans="1:8" ht="29.25" customHeight="1">
      <c r="A10" s="279" t="s">
        <v>258</v>
      </c>
      <c r="B10" s="280"/>
      <c r="C10" s="280"/>
      <c r="D10" s="290"/>
      <c r="E10" s="291"/>
      <c r="F10" s="288"/>
      <c r="G10" s="289"/>
      <c r="H10" s="285"/>
    </row>
    <row r="11" spans="1:8" ht="29.25" customHeight="1">
      <c r="A11" s="279" t="s">
        <v>216</v>
      </c>
      <c r="B11" s="280">
        <f>SUM(B4:B10)</f>
        <v>1232</v>
      </c>
      <c r="C11" s="280">
        <f>SUM(C4:C10)</f>
        <v>1369</v>
      </c>
      <c r="D11" s="281">
        <f>C11/B11*100</f>
        <v>111.12012987012987</v>
      </c>
      <c r="E11" s="292" t="s">
        <v>275</v>
      </c>
      <c r="F11" s="288">
        <f>SUM(F4:F9)</f>
        <v>1100</v>
      </c>
      <c r="G11" s="288">
        <f>SUM(G4:G9)</f>
        <v>1446</v>
      </c>
      <c r="H11" s="284">
        <f>G11/F11*100</f>
        <v>131.45454545454544</v>
      </c>
    </row>
    <row r="12" spans="1:8" ht="29.25" customHeight="1">
      <c r="A12" s="239"/>
      <c r="B12" s="280"/>
      <c r="C12" s="280"/>
      <c r="D12" s="281"/>
      <c r="E12" s="282" t="s">
        <v>276</v>
      </c>
      <c r="F12" s="288">
        <v>132</v>
      </c>
      <c r="G12" s="289">
        <v>-77</v>
      </c>
      <c r="H12" s="284">
        <f>G12/F12*100</f>
        <v>-58.333333333333336</v>
      </c>
    </row>
    <row r="13" spans="1:8" ht="29.25" customHeight="1">
      <c r="A13" s="279" t="s">
        <v>219</v>
      </c>
      <c r="B13" s="280">
        <v>3192</v>
      </c>
      <c r="C13" s="280">
        <v>3098</v>
      </c>
      <c r="D13" s="281">
        <f>C13/B13*100</f>
        <v>97.05513784461152</v>
      </c>
      <c r="E13" s="282" t="s">
        <v>277</v>
      </c>
      <c r="F13" s="288">
        <v>3324</v>
      </c>
      <c r="G13" s="289">
        <v>3021</v>
      </c>
      <c r="H13" s="284">
        <f>G13/F13*100</f>
        <v>90.88447653429603</v>
      </c>
    </row>
    <row r="14" spans="1:8" ht="29.25" customHeight="1">
      <c r="A14" s="293" t="s">
        <v>221</v>
      </c>
      <c r="B14" s="280">
        <f>SUM(B11:B13)</f>
        <v>4424</v>
      </c>
      <c r="C14" s="280">
        <f>SUM(C11:C13)</f>
        <v>4467</v>
      </c>
      <c r="D14" s="281">
        <f>C14/B14*100</f>
        <v>100.97197106690778</v>
      </c>
      <c r="E14" s="294" t="s">
        <v>221</v>
      </c>
      <c r="F14" s="288">
        <f>F13+F11</f>
        <v>4424</v>
      </c>
      <c r="G14" s="288">
        <f>G13+G11</f>
        <v>4467</v>
      </c>
      <c r="H14" s="284">
        <f>G14/F14*100</f>
        <v>100.97197106690778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</sheetData>
  <sheetProtection/>
  <mergeCells count="1">
    <mergeCell ref="A1:H1"/>
  </mergeCells>
  <printOptions horizontalCentered="1"/>
  <pageMargins left="0.75" right="0.75" top="0.98" bottom="0.98" header="0.51" footer="0.79"/>
  <pageSetup firstPageNumber="24" useFirstPageNumber="1" horizontalDpi="600" verticalDpi="600" orientation="landscape" paperSize="9"/>
  <headerFooter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1"/>
  <sheetViews>
    <sheetView showGridLines="0" showZeros="0" zoomScalePageLayoutView="0" workbookViewId="0" topLeftCell="A1">
      <pane xSplit="1" ySplit="3" topLeftCell="B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34" sqref="P34"/>
    </sheetView>
  </sheetViews>
  <sheetFormatPr defaultColWidth="9.25390625" defaultRowHeight="14.25"/>
  <cols>
    <col min="1" max="1" width="30.75390625" style="158" customWidth="1"/>
    <col min="2" max="4" width="14.125" style="158" customWidth="1"/>
    <col min="5" max="6" width="9.25390625" style="158" customWidth="1"/>
    <col min="7" max="14" width="9.25390625" style="158" hidden="1" customWidth="1"/>
    <col min="15" max="16384" width="9.25390625" style="158" customWidth="1"/>
  </cols>
  <sheetData>
    <row r="1" spans="1:4" s="157" customFormat="1" ht="45" customHeight="1">
      <c r="A1" s="483" t="s">
        <v>278</v>
      </c>
      <c r="B1" s="483"/>
      <c r="C1" s="483"/>
      <c r="D1" s="483"/>
    </row>
    <row r="2" ht="24" customHeight="1">
      <c r="D2" s="266" t="s">
        <v>131</v>
      </c>
    </row>
    <row r="3" spans="1:4" ht="23.25" customHeight="1">
      <c r="A3" s="267" t="s">
        <v>279</v>
      </c>
      <c r="B3" s="268" t="s">
        <v>48</v>
      </c>
      <c r="C3" s="267" t="s">
        <v>280</v>
      </c>
      <c r="D3" s="267" t="s">
        <v>281</v>
      </c>
    </row>
    <row r="4" spans="1:13" ht="14.25" customHeight="1">
      <c r="A4" s="165" t="s">
        <v>8</v>
      </c>
      <c r="B4" s="168">
        <f>SUM(B5:B19)</f>
        <v>395132</v>
      </c>
      <c r="C4" s="168">
        <f>SUM(C5:C19)</f>
        <v>430692</v>
      </c>
      <c r="D4" s="167">
        <f>(C4-B4)/B4*100</f>
        <v>8.999524209631211</v>
      </c>
      <c r="J4" s="158">
        <f>+B5+B6</f>
        <v>159164</v>
      </c>
      <c r="K4" s="158">
        <f>+C5</f>
        <v>156560</v>
      </c>
      <c r="M4" s="158">
        <f>+K4/J4</f>
        <v>0.9836395164735744</v>
      </c>
    </row>
    <row r="5" spans="1:13" ht="14.25" customHeight="1">
      <c r="A5" s="165" t="s">
        <v>9</v>
      </c>
      <c r="B5" s="168">
        <v>104661</v>
      </c>
      <c r="C5" s="168">
        <v>156560</v>
      </c>
      <c r="D5" s="167">
        <f aca="true" t="shared" si="0" ref="D5:D39">(C5-B5)/B5*100</f>
        <v>49.587716532423734</v>
      </c>
      <c r="G5" s="158">
        <f>+B5/0.375</f>
        <v>279096</v>
      </c>
      <c r="H5" s="158">
        <f>+C5/0.375</f>
        <v>417493.3333333333</v>
      </c>
      <c r="M5" s="158">
        <f>+M4-1</f>
        <v>-0.016360483526425607</v>
      </c>
    </row>
    <row r="6" spans="1:7" ht="14.25" customHeight="1">
      <c r="A6" s="165" t="s">
        <v>10</v>
      </c>
      <c r="B6" s="168">
        <v>54503</v>
      </c>
      <c r="C6" s="168">
        <v>0</v>
      </c>
      <c r="D6" s="167"/>
      <c r="G6" s="158">
        <f>+B6/0.75</f>
        <v>72670.66666666667</v>
      </c>
    </row>
    <row r="7" spans="1:7" ht="14.25" customHeight="1">
      <c r="A7" s="165" t="s">
        <v>11</v>
      </c>
      <c r="B7" s="168">
        <v>31105</v>
      </c>
      <c r="C7" s="168">
        <v>34551</v>
      </c>
      <c r="D7" s="167">
        <f t="shared" si="0"/>
        <v>11.078604725928308</v>
      </c>
      <c r="G7" s="158">
        <f>SUM(G5:G6)</f>
        <v>351766.6666666667</v>
      </c>
    </row>
    <row r="8" spans="1:4" ht="14.25" customHeight="1" hidden="1">
      <c r="A8" s="165" t="s">
        <v>12</v>
      </c>
      <c r="B8" s="168">
        <v>0</v>
      </c>
      <c r="C8" s="168">
        <v>0</v>
      </c>
      <c r="D8" s="167"/>
    </row>
    <row r="9" spans="1:8" ht="14.25" customHeight="1">
      <c r="A9" s="165" t="s">
        <v>13</v>
      </c>
      <c r="B9" s="168">
        <v>13585</v>
      </c>
      <c r="C9" s="168">
        <v>13789</v>
      </c>
      <c r="D9" s="167">
        <f t="shared" si="0"/>
        <v>1.5016562384983438</v>
      </c>
      <c r="H9" s="158">
        <f>+H5/G7</f>
        <v>1.18684734198806</v>
      </c>
    </row>
    <row r="10" spans="1:4" ht="14.25" customHeight="1">
      <c r="A10" s="165" t="s">
        <v>14</v>
      </c>
      <c r="B10" s="168">
        <v>1856</v>
      </c>
      <c r="C10" s="168">
        <v>2641</v>
      </c>
      <c r="D10" s="167">
        <f t="shared" si="0"/>
        <v>42.29525862068966</v>
      </c>
    </row>
    <row r="11" spans="1:4" ht="14.25" customHeight="1">
      <c r="A11" s="165" t="s">
        <v>15</v>
      </c>
      <c r="B11" s="168">
        <v>27982</v>
      </c>
      <c r="C11" s="168">
        <v>34088</v>
      </c>
      <c r="D11" s="167">
        <f t="shared" si="0"/>
        <v>21.82117075262669</v>
      </c>
    </row>
    <row r="12" spans="1:4" ht="14.25" customHeight="1">
      <c r="A12" s="165" t="s">
        <v>16</v>
      </c>
      <c r="B12" s="168">
        <v>14310</v>
      </c>
      <c r="C12" s="168">
        <v>18404</v>
      </c>
      <c r="D12" s="167">
        <f t="shared" si="0"/>
        <v>28.609364081062193</v>
      </c>
    </row>
    <row r="13" spans="1:4" ht="14.25" customHeight="1">
      <c r="A13" s="165" t="s">
        <v>17</v>
      </c>
      <c r="B13" s="168">
        <v>4914</v>
      </c>
      <c r="C13" s="168">
        <v>6483</v>
      </c>
      <c r="D13" s="167">
        <f t="shared" si="0"/>
        <v>31.929181929181926</v>
      </c>
    </row>
    <row r="14" spans="1:4" ht="14.25" customHeight="1">
      <c r="A14" s="165" t="s">
        <v>18</v>
      </c>
      <c r="B14" s="168">
        <v>28638</v>
      </c>
      <c r="C14" s="168">
        <v>33701</v>
      </c>
      <c r="D14" s="167">
        <f t="shared" si="0"/>
        <v>17.679307214190935</v>
      </c>
    </row>
    <row r="15" spans="1:4" ht="14.25" customHeight="1">
      <c r="A15" s="165" t="s">
        <v>19</v>
      </c>
      <c r="B15" s="168">
        <v>25478</v>
      </c>
      <c r="C15" s="168">
        <v>32971</v>
      </c>
      <c r="D15" s="167">
        <f t="shared" si="0"/>
        <v>29.40968678860193</v>
      </c>
    </row>
    <row r="16" spans="1:4" ht="14.25" customHeight="1">
      <c r="A16" s="165" t="s">
        <v>20</v>
      </c>
      <c r="B16" s="168">
        <v>8894</v>
      </c>
      <c r="C16" s="168">
        <v>9898</v>
      </c>
      <c r="D16" s="167">
        <f t="shared" si="0"/>
        <v>11.288509107263325</v>
      </c>
    </row>
    <row r="17" spans="1:4" ht="14.25" customHeight="1">
      <c r="A17" s="165" t="s">
        <v>21</v>
      </c>
      <c r="B17" s="168">
        <v>34930</v>
      </c>
      <c r="C17" s="168">
        <v>35492</v>
      </c>
      <c r="D17" s="167">
        <f t="shared" si="0"/>
        <v>1.6089321500143143</v>
      </c>
    </row>
    <row r="18" spans="1:4" ht="14.25" customHeight="1">
      <c r="A18" s="165" t="s">
        <v>22</v>
      </c>
      <c r="B18" s="168">
        <v>44276</v>
      </c>
      <c r="C18" s="168">
        <v>52114</v>
      </c>
      <c r="D18" s="167">
        <f t="shared" si="0"/>
        <v>17.702592826813625</v>
      </c>
    </row>
    <row r="19" spans="1:4" ht="14.25" customHeight="1">
      <c r="A19" s="165" t="s">
        <v>23</v>
      </c>
      <c r="B19" s="168">
        <v>0</v>
      </c>
      <c r="C19" s="168">
        <v>0</v>
      </c>
      <c r="D19" s="167"/>
    </row>
    <row r="20" spans="1:4" ht="14.25" customHeight="1">
      <c r="A20" s="165" t="s">
        <v>24</v>
      </c>
      <c r="B20" s="168">
        <f>SUM(B21:B28)</f>
        <v>273297</v>
      </c>
      <c r="C20" s="168">
        <f>SUM(C21:C28)</f>
        <v>266549</v>
      </c>
      <c r="D20" s="167">
        <f t="shared" si="0"/>
        <v>-2.469108698595301</v>
      </c>
    </row>
    <row r="21" spans="1:4" ht="14.25" customHeight="1">
      <c r="A21" s="165" t="s">
        <v>25</v>
      </c>
      <c r="B21" s="168">
        <v>37278</v>
      </c>
      <c r="C21" s="168">
        <v>36468</v>
      </c>
      <c r="D21" s="167">
        <f t="shared" si="0"/>
        <v>-2.1728633510381457</v>
      </c>
    </row>
    <row r="22" spans="1:4" ht="14.25" customHeight="1">
      <c r="A22" s="165" t="s">
        <v>26</v>
      </c>
      <c r="B22" s="168">
        <v>50862</v>
      </c>
      <c r="C22" s="168">
        <v>46394</v>
      </c>
      <c r="D22" s="167">
        <f t="shared" si="0"/>
        <v>-8.784554284141402</v>
      </c>
    </row>
    <row r="23" spans="1:4" ht="14.25" customHeight="1">
      <c r="A23" s="165" t="s">
        <v>27</v>
      </c>
      <c r="B23" s="168">
        <v>30438</v>
      </c>
      <c r="C23" s="168">
        <v>40021</v>
      </c>
      <c r="D23" s="167">
        <f t="shared" si="0"/>
        <v>31.483671726131806</v>
      </c>
    </row>
    <row r="24" spans="1:4" ht="14.25" customHeight="1">
      <c r="A24" s="165" t="s">
        <v>28</v>
      </c>
      <c r="B24" s="168">
        <v>38309</v>
      </c>
      <c r="C24" s="168">
        <v>44116</v>
      </c>
      <c r="D24" s="167">
        <f t="shared" si="0"/>
        <v>15.158317888746769</v>
      </c>
    </row>
    <row r="25" spans="1:4" ht="14.25" customHeight="1">
      <c r="A25" s="165" t="s">
        <v>29</v>
      </c>
      <c r="B25" s="168">
        <v>89401</v>
      </c>
      <c r="C25" s="168">
        <v>77855</v>
      </c>
      <c r="D25" s="167">
        <f t="shared" si="0"/>
        <v>-12.914844352971445</v>
      </c>
    </row>
    <row r="26" spans="1:4" ht="14.25" customHeight="1">
      <c r="A26" s="165" t="s">
        <v>30</v>
      </c>
      <c r="B26" s="168">
        <v>264</v>
      </c>
      <c r="C26" s="168">
        <v>0</v>
      </c>
      <c r="D26" s="167"/>
    </row>
    <row r="27" spans="1:4" ht="14.25" customHeight="1">
      <c r="A27" s="165" t="s">
        <v>31</v>
      </c>
      <c r="B27" s="168">
        <v>12218</v>
      </c>
      <c r="C27" s="168">
        <v>11404</v>
      </c>
      <c r="D27" s="167">
        <f t="shared" si="0"/>
        <v>-6.662301522344083</v>
      </c>
    </row>
    <row r="28" spans="1:4" ht="14.25" customHeight="1">
      <c r="A28" s="165" t="s">
        <v>32</v>
      </c>
      <c r="B28" s="168">
        <f>13498+214+815</f>
        <v>14527</v>
      </c>
      <c r="C28" s="168">
        <v>10291</v>
      </c>
      <c r="D28" s="167">
        <f t="shared" si="0"/>
        <v>-29.159496110690437</v>
      </c>
    </row>
    <row r="29" spans="1:4" ht="14.25" customHeight="1">
      <c r="A29" s="169" t="s">
        <v>33</v>
      </c>
      <c r="B29" s="168">
        <f>+B4+B20</f>
        <v>668429</v>
      </c>
      <c r="C29" s="168">
        <f>+C4+C20</f>
        <v>697241</v>
      </c>
      <c r="D29" s="167">
        <f t="shared" si="0"/>
        <v>4.310405443210872</v>
      </c>
    </row>
    <row r="30" spans="1:4" ht="14.25" customHeight="1">
      <c r="A30" s="170" t="s">
        <v>34</v>
      </c>
      <c r="B30" s="168">
        <f>SUM(B31:B33)</f>
        <v>317746</v>
      </c>
      <c r="C30" s="168">
        <f>SUM(C31:C33)</f>
        <v>359200</v>
      </c>
      <c r="D30" s="167">
        <f t="shared" si="0"/>
        <v>13.046269661931229</v>
      </c>
    </row>
    <row r="31" spans="1:4" ht="14.25" customHeight="1">
      <c r="A31" s="165" t="s">
        <v>35</v>
      </c>
      <c r="B31" s="168">
        <v>169068</v>
      </c>
      <c r="C31" s="168">
        <v>203400</v>
      </c>
      <c r="D31" s="167">
        <f t="shared" si="0"/>
        <v>20.30662218752218</v>
      </c>
    </row>
    <row r="32" spans="1:4" ht="14.25" customHeight="1">
      <c r="A32" s="165" t="s">
        <v>36</v>
      </c>
      <c r="B32" s="168">
        <v>53050</v>
      </c>
      <c r="C32" s="168">
        <v>52212</v>
      </c>
      <c r="D32" s="167">
        <f t="shared" si="0"/>
        <v>-1.579641847313855</v>
      </c>
    </row>
    <row r="33" spans="1:4" ht="14.25" customHeight="1">
      <c r="A33" s="165" t="s">
        <v>37</v>
      </c>
      <c r="B33" s="168">
        <v>95628</v>
      </c>
      <c r="C33" s="168">
        <v>103588</v>
      </c>
      <c r="D33" s="167">
        <f t="shared" si="0"/>
        <v>8.323921863889238</v>
      </c>
    </row>
    <row r="34" spans="1:4" ht="14.25" customHeight="1">
      <c r="A34" s="170" t="s">
        <v>38</v>
      </c>
      <c r="B34" s="168">
        <f>SUM(B35:B39)</f>
        <v>84876</v>
      </c>
      <c r="C34" s="168">
        <f>SUM(C35:C39)</f>
        <v>89328</v>
      </c>
      <c r="D34" s="167">
        <f t="shared" si="0"/>
        <v>5.245299024459211</v>
      </c>
    </row>
    <row r="35" spans="1:4" ht="14.25" customHeight="1">
      <c r="A35" s="165" t="s">
        <v>39</v>
      </c>
      <c r="B35" s="168">
        <v>34888</v>
      </c>
      <c r="C35" s="168">
        <v>53291</v>
      </c>
      <c r="D35" s="167">
        <f t="shared" si="0"/>
        <v>52.74879614767255</v>
      </c>
    </row>
    <row r="36" spans="1:4" ht="14.25" customHeight="1">
      <c r="A36" s="165" t="s">
        <v>40</v>
      </c>
      <c r="B36" s="168">
        <v>18166</v>
      </c>
      <c r="C36" s="168">
        <v>0</v>
      </c>
      <c r="D36" s="167">
        <f t="shared" si="0"/>
        <v>-100</v>
      </c>
    </row>
    <row r="37" spans="1:4" ht="14.25" customHeight="1">
      <c r="A37" s="165" t="s">
        <v>41</v>
      </c>
      <c r="B37" s="168">
        <v>18801</v>
      </c>
      <c r="C37" s="168">
        <v>20716</v>
      </c>
      <c r="D37" s="167">
        <f t="shared" si="0"/>
        <v>10.185628424019999</v>
      </c>
    </row>
    <row r="38" spans="1:4" ht="14.25" customHeight="1">
      <c r="A38" s="165" t="s">
        <v>42</v>
      </c>
      <c r="B38" s="168">
        <v>618</v>
      </c>
      <c r="C38" s="168">
        <v>881</v>
      </c>
      <c r="D38" s="167">
        <f t="shared" si="0"/>
        <v>42.55663430420712</v>
      </c>
    </row>
    <row r="39" spans="1:4" ht="14.25" customHeight="1">
      <c r="A39" s="165" t="s">
        <v>43</v>
      </c>
      <c r="B39" s="168">
        <v>12403</v>
      </c>
      <c r="C39" s="168">
        <v>14440</v>
      </c>
      <c r="D39" s="167">
        <f t="shared" si="0"/>
        <v>16.423445940498265</v>
      </c>
    </row>
    <row r="40" spans="1:4" ht="20.25" customHeight="1">
      <c r="A40" s="169" t="s">
        <v>44</v>
      </c>
      <c r="B40" s="269">
        <f>+B29+B30+B34</f>
        <v>1071051</v>
      </c>
      <c r="C40" s="269">
        <f>+C29+C30+C34</f>
        <v>1145769</v>
      </c>
      <c r="D40" s="270">
        <v>7</v>
      </c>
    </row>
    <row r="41" spans="1:4" ht="63" customHeight="1">
      <c r="A41" s="455" t="s">
        <v>282</v>
      </c>
      <c r="B41" s="455"/>
      <c r="C41" s="455"/>
      <c r="D41" s="455"/>
    </row>
  </sheetData>
  <sheetProtection/>
  <mergeCells count="2">
    <mergeCell ref="A1:D1"/>
    <mergeCell ref="A41:D41"/>
  </mergeCells>
  <printOptions horizontalCentered="1"/>
  <pageMargins left="0.79" right="0.79" top="0.98" bottom="0.98" header="0.2" footer="0.79"/>
  <pageSetup firstPageNumber="25" useFirstPageNumber="1" horizontalDpi="180" verticalDpi="180" orientation="portrait" paperSize="9"/>
  <headerFooter scaleWithDoc="0"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9"/>
  <sheetViews>
    <sheetView showZeros="0" zoomScalePageLayoutView="0" workbookViewId="0" topLeftCell="A10">
      <selection activeCell="D6" sqref="D6"/>
    </sheetView>
  </sheetViews>
  <sheetFormatPr defaultColWidth="9.00390625" defaultRowHeight="14.25"/>
  <cols>
    <col min="1" max="1" width="32.00390625" style="246" customWidth="1"/>
    <col min="2" max="2" width="14.50390625" style="247" customWidth="1"/>
    <col min="3" max="3" width="14.00390625" style="246" customWidth="1"/>
    <col min="4" max="4" width="14.125" style="246" customWidth="1"/>
    <col min="5" max="5" width="9.00390625" style="246" hidden="1" customWidth="1"/>
    <col min="6" max="6" width="12.125" style="246" hidden="1" customWidth="1"/>
    <col min="7" max="10" width="9.00390625" style="246" hidden="1" customWidth="1"/>
    <col min="11" max="16384" width="9.00390625" style="246" customWidth="1"/>
  </cols>
  <sheetData>
    <row r="1" spans="1:10" s="244" customFormat="1" ht="47.25" customHeight="1">
      <c r="A1" s="484" t="s">
        <v>283</v>
      </c>
      <c r="B1" s="484"/>
      <c r="C1" s="484"/>
      <c r="D1" s="484"/>
      <c r="E1" s="248"/>
      <c r="F1" s="248"/>
      <c r="G1" s="249"/>
      <c r="H1" s="249"/>
      <c r="I1" s="249"/>
      <c r="J1" s="249"/>
    </row>
    <row r="2" spans="1:10" ht="24.75" customHeight="1">
      <c r="A2" s="250"/>
      <c r="B2" s="250"/>
      <c r="C2" s="250"/>
      <c r="D2" s="251" t="s">
        <v>131</v>
      </c>
      <c r="E2" s="252"/>
      <c r="F2" s="252"/>
      <c r="G2" s="252"/>
      <c r="H2" s="252"/>
      <c r="I2" s="252"/>
      <c r="J2" s="252"/>
    </row>
    <row r="3" spans="1:10" ht="29.25" customHeight="1">
      <c r="A3" s="253" t="s">
        <v>284</v>
      </c>
      <c r="B3" s="254" t="s">
        <v>285</v>
      </c>
      <c r="C3" s="254" t="s">
        <v>286</v>
      </c>
      <c r="D3" s="254" t="s">
        <v>287</v>
      </c>
      <c r="E3" s="252" t="s">
        <v>288</v>
      </c>
      <c r="F3" s="255" t="s">
        <v>289</v>
      </c>
      <c r="G3" s="252" t="s">
        <v>290</v>
      </c>
      <c r="H3" s="252"/>
      <c r="I3" s="252"/>
      <c r="J3" s="252"/>
    </row>
    <row r="4" spans="1:10" s="245" customFormat="1" ht="24" customHeight="1">
      <c r="A4" s="256" t="s">
        <v>51</v>
      </c>
      <c r="B4" s="257">
        <v>313165</v>
      </c>
      <c r="C4" s="258">
        <v>329811</v>
      </c>
      <c r="D4" s="259">
        <f>(C4-B4)/B4*100</f>
        <v>5.315408810052209</v>
      </c>
      <c r="E4" s="260">
        <v>284383</v>
      </c>
      <c r="F4" s="250">
        <v>261746</v>
      </c>
      <c r="G4" s="250">
        <f>C4/1.0574</f>
        <v>311907.5089843011</v>
      </c>
      <c r="H4" s="261">
        <f>ROUND(G4,0)</f>
        <v>311908</v>
      </c>
      <c r="I4" s="250">
        <f aca="true" t="shared" si="0" ref="I4:I26">+B4-F4</f>
        <v>51419</v>
      </c>
      <c r="J4" s="250">
        <f>+E4-B4</f>
        <v>-28782</v>
      </c>
    </row>
    <row r="5" spans="1:10" s="245" customFormat="1" ht="24" customHeight="1">
      <c r="A5" s="256" t="s">
        <v>52</v>
      </c>
      <c r="B5" s="258">
        <v>0</v>
      </c>
      <c r="C5" s="258">
        <v>0</v>
      </c>
      <c r="D5" s="259"/>
      <c r="E5" s="260">
        <v>0</v>
      </c>
      <c r="F5" s="250">
        <v>0</v>
      </c>
      <c r="G5" s="250">
        <f aca="true" t="shared" si="1" ref="G5:G27">C5/1.0574</f>
        <v>0</v>
      </c>
      <c r="H5" s="261">
        <f aca="true" t="shared" si="2" ref="H5:H27">ROUND(G5,0)</f>
        <v>0</v>
      </c>
      <c r="I5" s="250">
        <f t="shared" si="0"/>
        <v>0</v>
      </c>
      <c r="J5" s="250">
        <f aca="true" t="shared" si="3" ref="J5:J26">+E5-B5</f>
        <v>0</v>
      </c>
    </row>
    <row r="6" spans="1:10" s="245" customFormat="1" ht="24" customHeight="1">
      <c r="A6" s="256" t="s">
        <v>53</v>
      </c>
      <c r="B6" s="258">
        <v>2825</v>
      </c>
      <c r="C6" s="258">
        <v>3309</v>
      </c>
      <c r="D6" s="259">
        <f aca="true" t="shared" si="4" ref="D6:D27">(C6-B6)/B6*100</f>
        <v>17.13274336283186</v>
      </c>
      <c r="E6" s="260">
        <v>2435</v>
      </c>
      <c r="F6" s="250">
        <v>1138</v>
      </c>
      <c r="G6" s="250">
        <f t="shared" si="1"/>
        <v>3129.373936069605</v>
      </c>
      <c r="H6" s="261">
        <f t="shared" si="2"/>
        <v>3129</v>
      </c>
      <c r="I6" s="250">
        <f t="shared" si="0"/>
        <v>1687</v>
      </c>
      <c r="J6" s="250">
        <f t="shared" si="3"/>
        <v>-390</v>
      </c>
    </row>
    <row r="7" spans="1:10" s="245" customFormat="1" ht="24" customHeight="1">
      <c r="A7" s="256" t="s">
        <v>54</v>
      </c>
      <c r="B7" s="258">
        <v>98876</v>
      </c>
      <c r="C7" s="258">
        <v>114636</v>
      </c>
      <c r="D7" s="259">
        <f t="shared" si="4"/>
        <v>15.939156114729562</v>
      </c>
      <c r="E7" s="260">
        <v>102614</v>
      </c>
      <c r="F7" s="250">
        <v>83098</v>
      </c>
      <c r="G7" s="250">
        <f t="shared" si="1"/>
        <v>108413.08870815208</v>
      </c>
      <c r="H7" s="261">
        <f t="shared" si="2"/>
        <v>108413</v>
      </c>
      <c r="I7" s="250">
        <f t="shared" si="0"/>
        <v>15778</v>
      </c>
      <c r="J7" s="250">
        <f t="shared" si="3"/>
        <v>3738</v>
      </c>
    </row>
    <row r="8" spans="1:10" s="245" customFormat="1" ht="24" customHeight="1">
      <c r="A8" s="256" t="s">
        <v>55</v>
      </c>
      <c r="B8" s="258">
        <v>413646</v>
      </c>
      <c r="C8" s="258">
        <v>432284</v>
      </c>
      <c r="D8" s="259">
        <f t="shared" si="4"/>
        <v>4.505785139950586</v>
      </c>
      <c r="E8" s="260">
        <v>440092</v>
      </c>
      <c r="F8" s="250">
        <v>361260</v>
      </c>
      <c r="G8" s="250">
        <f t="shared" si="1"/>
        <v>408817.8551163231</v>
      </c>
      <c r="H8" s="261">
        <f t="shared" si="2"/>
        <v>408818</v>
      </c>
      <c r="I8" s="250">
        <f t="shared" si="0"/>
        <v>52386</v>
      </c>
      <c r="J8" s="250">
        <f t="shared" si="3"/>
        <v>26446</v>
      </c>
    </row>
    <row r="9" spans="1:10" s="245" customFormat="1" ht="24" customHeight="1">
      <c r="A9" s="256" t="s">
        <v>56</v>
      </c>
      <c r="B9" s="258">
        <v>12587</v>
      </c>
      <c r="C9" s="258">
        <v>12103</v>
      </c>
      <c r="D9" s="259">
        <f t="shared" si="4"/>
        <v>-3.8452371494398987</v>
      </c>
      <c r="E9" s="260">
        <v>20218</v>
      </c>
      <c r="F9" s="250">
        <v>18062</v>
      </c>
      <c r="G9" s="250">
        <f t="shared" si="1"/>
        <v>11445.999621713638</v>
      </c>
      <c r="H9" s="261">
        <f t="shared" si="2"/>
        <v>11446</v>
      </c>
      <c r="I9" s="250">
        <f t="shared" si="0"/>
        <v>-5475</v>
      </c>
      <c r="J9" s="250">
        <f t="shared" si="3"/>
        <v>7631</v>
      </c>
    </row>
    <row r="10" spans="1:10" s="245" customFormat="1" ht="24" customHeight="1">
      <c r="A10" s="256" t="s">
        <v>57</v>
      </c>
      <c r="B10" s="258">
        <v>39915</v>
      </c>
      <c r="C10" s="258">
        <v>41911</v>
      </c>
      <c r="D10" s="259">
        <f t="shared" si="4"/>
        <v>5.000626330953276</v>
      </c>
      <c r="E10" s="260">
        <v>44840</v>
      </c>
      <c r="F10" s="250">
        <v>22443</v>
      </c>
      <c r="G10" s="250">
        <f t="shared" si="1"/>
        <v>39635.8993758275</v>
      </c>
      <c r="H10" s="261">
        <f t="shared" si="2"/>
        <v>39636</v>
      </c>
      <c r="I10" s="250">
        <f t="shared" si="0"/>
        <v>17472</v>
      </c>
      <c r="J10" s="250">
        <f t="shared" si="3"/>
        <v>4925</v>
      </c>
    </row>
    <row r="11" spans="1:10" s="245" customFormat="1" ht="24" customHeight="1">
      <c r="A11" s="256" t="s">
        <v>58</v>
      </c>
      <c r="B11" s="258">
        <v>456722</v>
      </c>
      <c r="C11" s="258">
        <v>491545</v>
      </c>
      <c r="D11" s="259">
        <f t="shared" si="4"/>
        <v>7.624550601897873</v>
      </c>
      <c r="E11" s="260">
        <v>482399</v>
      </c>
      <c r="F11" s="250">
        <v>368333</v>
      </c>
      <c r="G11" s="250">
        <f t="shared" si="1"/>
        <v>464861.92547758657</v>
      </c>
      <c r="H11" s="261">
        <f t="shared" si="2"/>
        <v>464862</v>
      </c>
      <c r="I11" s="250">
        <f t="shared" si="0"/>
        <v>88389</v>
      </c>
      <c r="J11" s="250">
        <f t="shared" si="3"/>
        <v>25677</v>
      </c>
    </row>
    <row r="12" spans="1:10" s="245" customFormat="1" ht="24" customHeight="1">
      <c r="A12" s="256" t="s">
        <v>59</v>
      </c>
      <c r="B12" s="258">
        <v>244535</v>
      </c>
      <c r="C12" s="258">
        <v>269714</v>
      </c>
      <c r="D12" s="259">
        <f t="shared" si="4"/>
        <v>10.296685546036354</v>
      </c>
      <c r="E12" s="260">
        <v>305622</v>
      </c>
      <c r="F12" s="250">
        <v>197246</v>
      </c>
      <c r="G12" s="250">
        <f t="shared" si="1"/>
        <v>255072.8201248345</v>
      </c>
      <c r="H12" s="261">
        <f t="shared" si="2"/>
        <v>255073</v>
      </c>
      <c r="I12" s="250">
        <f t="shared" si="0"/>
        <v>47289</v>
      </c>
      <c r="J12" s="250">
        <f t="shared" si="3"/>
        <v>61087</v>
      </c>
    </row>
    <row r="13" spans="1:10" s="245" customFormat="1" ht="24" customHeight="1">
      <c r="A13" s="256" t="s">
        <v>60</v>
      </c>
      <c r="B13" s="258">
        <v>41583</v>
      </c>
      <c r="C13" s="258">
        <v>47830</v>
      </c>
      <c r="D13" s="259">
        <f t="shared" si="4"/>
        <v>15.02296611596085</v>
      </c>
      <c r="E13" s="260">
        <v>58066</v>
      </c>
      <c r="F13" s="250">
        <v>17664</v>
      </c>
      <c r="G13" s="250">
        <f t="shared" si="1"/>
        <v>45233.59182901457</v>
      </c>
      <c r="H13" s="261">
        <f t="shared" si="2"/>
        <v>45234</v>
      </c>
      <c r="I13" s="250">
        <f t="shared" si="0"/>
        <v>23919</v>
      </c>
      <c r="J13" s="250">
        <f t="shared" si="3"/>
        <v>16483</v>
      </c>
    </row>
    <row r="14" spans="1:10" s="245" customFormat="1" ht="24" customHeight="1">
      <c r="A14" s="256" t="s">
        <v>61</v>
      </c>
      <c r="B14" s="258">
        <v>90271</v>
      </c>
      <c r="C14" s="258">
        <v>89750</v>
      </c>
      <c r="D14" s="259">
        <f t="shared" si="4"/>
        <v>-0.5771510230306521</v>
      </c>
      <c r="E14" s="260">
        <v>101589</v>
      </c>
      <c r="F14" s="250">
        <v>64511</v>
      </c>
      <c r="G14" s="250">
        <f t="shared" si="1"/>
        <v>84878.00264800455</v>
      </c>
      <c r="H14" s="261">
        <f t="shared" si="2"/>
        <v>84878</v>
      </c>
      <c r="I14" s="250">
        <f t="shared" si="0"/>
        <v>25760</v>
      </c>
      <c r="J14" s="250">
        <f t="shared" si="3"/>
        <v>11318</v>
      </c>
    </row>
    <row r="15" spans="1:10" s="245" customFormat="1" ht="24" customHeight="1">
      <c r="A15" s="256" t="s">
        <v>62</v>
      </c>
      <c r="B15" s="258">
        <v>294602</v>
      </c>
      <c r="C15" s="258">
        <v>314889</v>
      </c>
      <c r="D15" s="259">
        <f t="shared" si="4"/>
        <v>6.886239740395517</v>
      </c>
      <c r="E15" s="260">
        <v>355197</v>
      </c>
      <c r="F15" s="250">
        <v>188350</v>
      </c>
      <c r="G15" s="250">
        <f t="shared" si="1"/>
        <v>297795.5362209193</v>
      </c>
      <c r="H15" s="261">
        <f t="shared" si="2"/>
        <v>297796</v>
      </c>
      <c r="I15" s="250">
        <f t="shared" si="0"/>
        <v>106252</v>
      </c>
      <c r="J15" s="250">
        <f t="shared" si="3"/>
        <v>60595</v>
      </c>
    </row>
    <row r="16" spans="1:10" s="245" customFormat="1" ht="24" customHeight="1">
      <c r="A16" s="256" t="s">
        <v>63</v>
      </c>
      <c r="B16" s="258">
        <v>74948</v>
      </c>
      <c r="C16" s="258">
        <v>84347</v>
      </c>
      <c r="D16" s="259">
        <f t="shared" si="4"/>
        <v>12.540694881784702</v>
      </c>
      <c r="E16" s="260">
        <v>106784</v>
      </c>
      <c r="F16" s="250">
        <v>39787</v>
      </c>
      <c r="G16" s="250">
        <f t="shared" si="1"/>
        <v>79768.29960279932</v>
      </c>
      <c r="H16" s="261">
        <f t="shared" si="2"/>
        <v>79768</v>
      </c>
      <c r="I16" s="250">
        <f t="shared" si="0"/>
        <v>35161</v>
      </c>
      <c r="J16" s="250">
        <f t="shared" si="3"/>
        <v>31836</v>
      </c>
    </row>
    <row r="17" spans="1:10" s="245" customFormat="1" ht="24" customHeight="1">
      <c r="A17" s="256" t="s">
        <v>64</v>
      </c>
      <c r="B17" s="258">
        <v>99055</v>
      </c>
      <c r="C17" s="258">
        <v>59907</v>
      </c>
      <c r="D17" s="259">
        <f t="shared" si="4"/>
        <v>-39.52147796678613</v>
      </c>
      <c r="E17" s="260">
        <v>97858</v>
      </c>
      <c r="F17" s="250">
        <v>95230</v>
      </c>
      <c r="G17" s="250">
        <f t="shared" si="1"/>
        <v>56655.002837147724</v>
      </c>
      <c r="H17" s="261">
        <f t="shared" si="2"/>
        <v>56655</v>
      </c>
      <c r="I17" s="250">
        <f t="shared" si="0"/>
        <v>3825</v>
      </c>
      <c r="J17" s="250">
        <f t="shared" si="3"/>
        <v>-1197</v>
      </c>
    </row>
    <row r="18" spans="1:10" s="245" customFormat="1" ht="24" customHeight="1">
      <c r="A18" s="256" t="s">
        <v>65</v>
      </c>
      <c r="B18" s="258">
        <v>10399</v>
      </c>
      <c r="C18" s="258">
        <v>8791</v>
      </c>
      <c r="D18" s="259">
        <f t="shared" si="4"/>
        <v>-15.463025290893356</v>
      </c>
      <c r="E18" s="260">
        <v>15023</v>
      </c>
      <c r="F18" s="250">
        <v>8777</v>
      </c>
      <c r="G18" s="250">
        <f t="shared" si="1"/>
        <v>8313.788537923208</v>
      </c>
      <c r="H18" s="261">
        <f t="shared" si="2"/>
        <v>8314</v>
      </c>
      <c r="I18" s="250">
        <f t="shared" si="0"/>
        <v>1622</v>
      </c>
      <c r="J18" s="250">
        <f t="shared" si="3"/>
        <v>4624</v>
      </c>
    </row>
    <row r="19" spans="1:10" s="245" customFormat="1" ht="24" customHeight="1">
      <c r="A19" s="256" t="s">
        <v>66</v>
      </c>
      <c r="B19" s="258">
        <v>103</v>
      </c>
      <c r="C19" s="258">
        <v>88</v>
      </c>
      <c r="D19" s="259">
        <f t="shared" si="4"/>
        <v>-14.563106796116504</v>
      </c>
      <c r="E19" s="260">
        <v>204</v>
      </c>
      <c r="F19" s="250">
        <v>329</v>
      </c>
      <c r="G19" s="250">
        <f t="shared" si="1"/>
        <v>83.22299981085683</v>
      </c>
      <c r="H19" s="261">
        <f t="shared" si="2"/>
        <v>83</v>
      </c>
      <c r="I19" s="250">
        <f t="shared" si="0"/>
        <v>-226</v>
      </c>
      <c r="J19" s="250">
        <f t="shared" si="3"/>
        <v>101</v>
      </c>
    </row>
    <row r="20" spans="1:10" s="245" customFormat="1" ht="24" customHeight="1">
      <c r="A20" s="262" t="s">
        <v>67</v>
      </c>
      <c r="B20" s="258">
        <v>200</v>
      </c>
      <c r="C20" s="258">
        <v>0</v>
      </c>
      <c r="D20" s="259"/>
      <c r="E20" s="260"/>
      <c r="F20" s="250"/>
      <c r="G20" s="250">
        <f t="shared" si="1"/>
        <v>0</v>
      </c>
      <c r="H20" s="261">
        <f t="shared" si="2"/>
        <v>0</v>
      </c>
      <c r="I20" s="250">
        <f t="shared" si="0"/>
        <v>200</v>
      </c>
      <c r="J20" s="250">
        <f t="shared" si="3"/>
        <v>-200</v>
      </c>
    </row>
    <row r="21" spans="1:10" s="245" customFormat="1" ht="24" customHeight="1">
      <c r="A21" s="262" t="s">
        <v>68</v>
      </c>
      <c r="B21" s="258">
        <v>17419</v>
      </c>
      <c r="C21" s="258">
        <v>18038</v>
      </c>
      <c r="D21" s="259">
        <f t="shared" si="4"/>
        <v>3.5535909064814284</v>
      </c>
      <c r="E21" s="260">
        <v>21084</v>
      </c>
      <c r="F21" s="250">
        <v>14515</v>
      </c>
      <c r="G21" s="250">
        <f t="shared" si="1"/>
        <v>17058.823529411766</v>
      </c>
      <c r="H21" s="261">
        <f t="shared" si="2"/>
        <v>17059</v>
      </c>
      <c r="I21" s="250">
        <f t="shared" si="0"/>
        <v>2904</v>
      </c>
      <c r="J21" s="250">
        <f t="shared" si="3"/>
        <v>3665</v>
      </c>
    </row>
    <row r="22" spans="1:10" s="245" customFormat="1" ht="24" customHeight="1">
      <c r="A22" s="262" t="s">
        <v>69</v>
      </c>
      <c r="B22" s="258">
        <v>147906</v>
      </c>
      <c r="C22" s="258">
        <v>156114</v>
      </c>
      <c r="D22" s="259">
        <f t="shared" si="4"/>
        <v>5.549470609711574</v>
      </c>
      <c r="E22" s="260">
        <v>203180</v>
      </c>
      <c r="F22" s="250">
        <v>73807</v>
      </c>
      <c r="G22" s="250">
        <f t="shared" si="1"/>
        <v>147639.4930962739</v>
      </c>
      <c r="H22" s="261">
        <f t="shared" si="2"/>
        <v>147639</v>
      </c>
      <c r="I22" s="250">
        <f t="shared" si="0"/>
        <v>74099</v>
      </c>
      <c r="J22" s="250">
        <f t="shared" si="3"/>
        <v>55274</v>
      </c>
    </row>
    <row r="23" spans="1:10" ht="24" customHeight="1">
      <c r="A23" s="262" t="s">
        <v>70</v>
      </c>
      <c r="B23" s="258">
        <v>3563</v>
      </c>
      <c r="C23" s="257">
        <v>4875</v>
      </c>
      <c r="D23" s="259">
        <f t="shared" si="4"/>
        <v>36.822902048835246</v>
      </c>
      <c r="E23" s="260">
        <v>9882</v>
      </c>
      <c r="F23" s="252">
        <v>3068</v>
      </c>
      <c r="G23" s="250">
        <f t="shared" si="1"/>
        <v>4610.36504634008</v>
      </c>
      <c r="H23" s="261">
        <f t="shared" si="2"/>
        <v>4610</v>
      </c>
      <c r="I23" s="250">
        <f t="shared" si="0"/>
        <v>495</v>
      </c>
      <c r="J23" s="250">
        <f t="shared" si="3"/>
        <v>6319</v>
      </c>
    </row>
    <row r="24" spans="1:10" ht="24" customHeight="1">
      <c r="A24" s="262" t="s">
        <v>291</v>
      </c>
      <c r="B24" s="257">
        <v>19900</v>
      </c>
      <c r="C24" s="257">
        <v>24300</v>
      </c>
      <c r="D24" s="259">
        <f t="shared" si="4"/>
        <v>22.110552763819097</v>
      </c>
      <c r="E24" s="260"/>
      <c r="F24" s="252">
        <v>19508</v>
      </c>
      <c r="G24" s="250">
        <f t="shared" si="1"/>
        <v>22980.896538679783</v>
      </c>
      <c r="H24" s="261">
        <f t="shared" si="2"/>
        <v>22981</v>
      </c>
      <c r="I24" s="250">
        <f t="shared" si="0"/>
        <v>392</v>
      </c>
      <c r="J24" s="250">
        <f t="shared" si="3"/>
        <v>-19900</v>
      </c>
    </row>
    <row r="25" spans="1:10" ht="24" customHeight="1">
      <c r="A25" s="262" t="s">
        <v>71</v>
      </c>
      <c r="B25" s="257">
        <v>12686</v>
      </c>
      <c r="C25" s="257">
        <v>39621</v>
      </c>
      <c r="D25" s="259">
        <f t="shared" si="4"/>
        <v>212.32066845341322</v>
      </c>
      <c r="E25" s="260"/>
      <c r="F25" s="252"/>
      <c r="G25" s="250"/>
      <c r="H25" s="261"/>
      <c r="I25" s="250"/>
      <c r="J25" s="250"/>
    </row>
    <row r="26" spans="1:10" ht="24" customHeight="1">
      <c r="A26" s="262" t="s">
        <v>72</v>
      </c>
      <c r="B26" s="257">
        <v>36004</v>
      </c>
      <c r="C26" s="257">
        <v>54697</v>
      </c>
      <c r="D26" s="259">
        <f t="shared" si="4"/>
        <v>51.91923119653372</v>
      </c>
      <c r="E26" s="263">
        <v>42009</v>
      </c>
      <c r="F26" s="252">
        <v>49185</v>
      </c>
      <c r="G26" s="250">
        <f t="shared" si="1"/>
        <v>51727.82296198222</v>
      </c>
      <c r="H26" s="261">
        <f t="shared" si="2"/>
        <v>51728</v>
      </c>
      <c r="I26" s="250">
        <f t="shared" si="0"/>
        <v>-13181</v>
      </c>
      <c r="J26" s="250">
        <f t="shared" si="3"/>
        <v>6005</v>
      </c>
    </row>
    <row r="27" spans="1:10" ht="24" customHeight="1">
      <c r="A27" s="154" t="s">
        <v>292</v>
      </c>
      <c r="B27" s="264">
        <f>SUM(B4:B26)</f>
        <v>2430910</v>
      </c>
      <c r="C27" s="257">
        <v>2598560</v>
      </c>
      <c r="D27" s="259">
        <f t="shared" si="4"/>
        <v>6.896594279508498</v>
      </c>
      <c r="E27" s="263">
        <v>2693479</v>
      </c>
      <c r="F27" s="252">
        <v>1895436</v>
      </c>
      <c r="G27" s="250">
        <f t="shared" si="1"/>
        <v>2457499.527142047</v>
      </c>
      <c r="H27" s="261">
        <f t="shared" si="2"/>
        <v>2457500</v>
      </c>
      <c r="I27" s="252"/>
      <c r="J27" s="252"/>
    </row>
    <row r="28" spans="1:10" ht="15.75">
      <c r="A28" s="252"/>
      <c r="B28" s="252"/>
      <c r="C28" s="252"/>
      <c r="D28" s="252"/>
      <c r="E28" s="252"/>
      <c r="F28" s="252" t="s">
        <v>293</v>
      </c>
      <c r="G28" s="252"/>
      <c r="H28" s="252"/>
      <c r="I28" s="252"/>
      <c r="J28" s="252"/>
    </row>
    <row r="29" spans="1:10" ht="15.75">
      <c r="A29" s="252"/>
      <c r="B29" s="252"/>
      <c r="C29" s="252"/>
      <c r="D29" s="252"/>
      <c r="E29" s="252"/>
      <c r="F29" s="252" t="s">
        <v>294</v>
      </c>
      <c r="G29" s="252"/>
      <c r="H29" s="252"/>
      <c r="I29" s="252"/>
      <c r="J29" s="252"/>
    </row>
    <row r="30" spans="1:10" ht="15.75">
      <c r="A30" s="252"/>
      <c r="B30" s="252"/>
      <c r="C30" s="252"/>
      <c r="D30" s="252"/>
      <c r="E30" s="252"/>
      <c r="F30" s="252" t="s">
        <v>295</v>
      </c>
      <c r="G30" s="252"/>
      <c r="H30" s="252"/>
      <c r="I30" s="252"/>
      <c r="J30" s="252"/>
    </row>
    <row r="31" spans="1:10" ht="15.75">
      <c r="A31" s="252"/>
      <c r="B31" s="252"/>
      <c r="C31" s="252"/>
      <c r="D31" s="252"/>
      <c r="E31" s="252"/>
      <c r="F31" s="252">
        <f>+F27+42300+66490+85732</f>
        <v>2089958</v>
      </c>
      <c r="G31" s="252"/>
      <c r="H31" s="252"/>
      <c r="I31" s="252"/>
      <c r="J31" s="252"/>
    </row>
    <row r="39" ht="15.75">
      <c r="A39" s="265"/>
    </row>
  </sheetData>
  <sheetProtection/>
  <mergeCells count="1">
    <mergeCell ref="A1:D1"/>
  </mergeCells>
  <printOptions horizontalCentered="1"/>
  <pageMargins left="0.79" right="0.79" top="0.98" bottom="0.98" header="0.2" footer="0.79"/>
  <pageSetup firstPageNumber="26" useFirstPageNumber="1" horizontalDpi="600" verticalDpi="600" orientation="portrait" paperSize="9"/>
  <headerFooter scaleWithDoc="0"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0">
      <selection activeCell="F24" sqref="F24"/>
    </sheetView>
  </sheetViews>
  <sheetFormatPr defaultColWidth="9.00390625" defaultRowHeight="14.25"/>
  <cols>
    <col min="1" max="1" width="28.375" style="109" customWidth="1"/>
    <col min="2" max="2" width="10.125" style="109" customWidth="1"/>
    <col min="3" max="3" width="27.875" style="109" customWidth="1"/>
    <col min="4" max="4" width="10.25390625" style="109" customWidth="1"/>
    <col min="5" max="16384" width="9.00390625" style="109" customWidth="1"/>
  </cols>
  <sheetData>
    <row r="1" spans="1:5" s="108" customFormat="1" ht="45.75" customHeight="1">
      <c r="A1" s="485" t="s">
        <v>296</v>
      </c>
      <c r="B1" s="485"/>
      <c r="C1" s="485"/>
      <c r="D1" s="485"/>
      <c r="E1" s="110"/>
    </row>
    <row r="2" spans="1:4" ht="19.5" customHeight="1">
      <c r="A2" s="171"/>
      <c r="B2" s="172"/>
      <c r="C2" s="171"/>
      <c r="D2" s="173" t="s">
        <v>1</v>
      </c>
    </row>
    <row r="3" spans="1:4" ht="17.25" customHeight="1">
      <c r="A3" s="486" t="s">
        <v>297</v>
      </c>
      <c r="B3" s="486"/>
      <c r="C3" s="486" t="s">
        <v>298</v>
      </c>
      <c r="D3" s="486"/>
    </row>
    <row r="4" spans="1:4" ht="27" customHeight="1">
      <c r="A4" s="174" t="s">
        <v>299</v>
      </c>
      <c r="B4" s="175" t="s">
        <v>300</v>
      </c>
      <c r="C4" s="176" t="s">
        <v>299</v>
      </c>
      <c r="D4" s="175" t="s">
        <v>300</v>
      </c>
    </row>
    <row r="5" spans="1:4" ht="28.5" customHeight="1">
      <c r="A5" s="177" t="s">
        <v>301</v>
      </c>
      <c r="B5" s="181">
        <v>697241</v>
      </c>
      <c r="C5" s="180" t="s">
        <v>302</v>
      </c>
      <c r="D5" s="181">
        <v>2598560</v>
      </c>
    </row>
    <row r="6" spans="1:4" ht="28.5" customHeight="1">
      <c r="A6" s="180" t="s">
        <v>303</v>
      </c>
      <c r="B6" s="181">
        <f>SUM(B7,B12,B20)</f>
        <v>1847675</v>
      </c>
      <c r="C6" s="180" t="s">
        <v>304</v>
      </c>
      <c r="D6" s="181">
        <f>+D5-D7</f>
        <v>1818772</v>
      </c>
    </row>
    <row r="7" spans="1:4" ht="28.5" customHeight="1">
      <c r="A7" s="180" t="s">
        <v>305</v>
      </c>
      <c r="B7" s="243">
        <f>SUM(B8:B11)</f>
        <v>84783</v>
      </c>
      <c r="C7" s="180" t="s">
        <v>306</v>
      </c>
      <c r="D7" s="181">
        <v>779788</v>
      </c>
    </row>
    <row r="8" spans="1:4" ht="28.5" customHeight="1">
      <c r="A8" s="180" t="s">
        <v>307</v>
      </c>
      <c r="B8" s="243">
        <v>34774</v>
      </c>
      <c r="C8" s="180" t="s">
        <v>308</v>
      </c>
      <c r="D8" s="178">
        <f>SUM(D9:D12)</f>
        <v>17000</v>
      </c>
    </row>
    <row r="9" spans="1:4" ht="28.5" customHeight="1">
      <c r="A9" s="180" t="s">
        <v>309</v>
      </c>
      <c r="B9" s="243">
        <v>4608</v>
      </c>
      <c r="C9" s="180" t="s">
        <v>310</v>
      </c>
      <c r="D9" s="181">
        <v>1706</v>
      </c>
    </row>
    <row r="10" spans="1:4" ht="28.5" customHeight="1">
      <c r="A10" s="180" t="s">
        <v>311</v>
      </c>
      <c r="B10" s="243">
        <v>14253</v>
      </c>
      <c r="C10" s="180" t="s">
        <v>312</v>
      </c>
      <c r="D10" s="181">
        <v>13369</v>
      </c>
    </row>
    <row r="11" spans="1:4" ht="28.5" customHeight="1">
      <c r="A11" s="180" t="s">
        <v>313</v>
      </c>
      <c r="B11" s="181">
        <f>16689+14459</f>
        <v>31148</v>
      </c>
      <c r="C11" s="180" t="s">
        <v>314</v>
      </c>
      <c r="D11" s="181">
        <v>1925</v>
      </c>
    </row>
    <row r="12" spans="1:4" ht="28.5" customHeight="1">
      <c r="A12" s="180" t="s">
        <v>315</v>
      </c>
      <c r="B12" s="178">
        <f>SUM(B13:B19)</f>
        <v>983104</v>
      </c>
      <c r="C12" s="180"/>
      <c r="D12" s="178"/>
    </row>
    <row r="13" spans="1:4" ht="28.5" customHeight="1">
      <c r="A13" s="180" t="s">
        <v>316</v>
      </c>
      <c r="B13" s="243"/>
      <c r="C13" s="184" t="s">
        <v>317</v>
      </c>
      <c r="D13" s="178"/>
    </row>
    <row r="14" spans="1:4" ht="28.5" customHeight="1">
      <c r="A14" s="180" t="s">
        <v>318</v>
      </c>
      <c r="B14" s="243">
        <v>313921</v>
      </c>
      <c r="C14" s="185" t="s">
        <v>319</v>
      </c>
      <c r="D14" s="186"/>
    </row>
    <row r="15" spans="1:4" ht="28.5" customHeight="1">
      <c r="A15" s="180" t="s">
        <v>320</v>
      </c>
      <c r="B15" s="181">
        <f>91346+4754</f>
        <v>96100</v>
      </c>
      <c r="C15" s="184" t="s">
        <v>321</v>
      </c>
      <c r="D15" s="181"/>
    </row>
    <row r="16" spans="1:4" ht="28.5" customHeight="1">
      <c r="A16" s="180" t="s">
        <v>322</v>
      </c>
      <c r="B16" s="187">
        <v>53285</v>
      </c>
      <c r="C16" s="179" t="s">
        <v>323</v>
      </c>
      <c r="D16" s="181"/>
    </row>
    <row r="17" spans="1:4" ht="28.5" customHeight="1">
      <c r="A17" s="180" t="s">
        <v>324</v>
      </c>
      <c r="B17" s="243">
        <v>90747</v>
      </c>
      <c r="C17" s="102"/>
      <c r="D17" s="186"/>
    </row>
    <row r="18" spans="1:4" ht="28.5" customHeight="1">
      <c r="A18" s="180" t="s">
        <v>325</v>
      </c>
      <c r="B18" s="243">
        <f>19930+3315+1407</f>
        <v>24652</v>
      </c>
      <c r="C18" s="180"/>
      <c r="D18" s="178"/>
    </row>
    <row r="19" spans="1:4" ht="28.5" customHeight="1">
      <c r="A19" s="180" t="s">
        <v>326</v>
      </c>
      <c r="B19" s="181">
        <v>404399</v>
      </c>
      <c r="C19" s="185"/>
      <c r="D19" s="181"/>
    </row>
    <row r="20" spans="1:4" ht="28.5" customHeight="1">
      <c r="A20" s="180" t="s">
        <v>327</v>
      </c>
      <c r="B20" s="178">
        <f>803646-23858</f>
        <v>779788</v>
      </c>
      <c r="C20" s="185"/>
      <c r="D20" s="178"/>
    </row>
    <row r="21" spans="1:4" ht="28.5" customHeight="1">
      <c r="A21" s="180" t="s">
        <v>328</v>
      </c>
      <c r="B21" s="181"/>
      <c r="C21" s="185"/>
      <c r="D21" s="181"/>
    </row>
    <row r="22" spans="1:4" ht="26.25" customHeight="1">
      <c r="A22" s="180" t="s">
        <v>329</v>
      </c>
      <c r="B22" s="243">
        <v>70221</v>
      </c>
      <c r="C22" s="185"/>
      <c r="D22" s="181"/>
    </row>
    <row r="23" spans="1:4" ht="28.5" customHeight="1">
      <c r="A23" s="179" t="s">
        <v>330</v>
      </c>
      <c r="B23" s="243">
        <v>423</v>
      </c>
      <c r="C23" s="185"/>
      <c r="D23" s="181"/>
    </row>
    <row r="24" spans="1:4" ht="24.75" customHeight="1">
      <c r="A24" s="189" t="s">
        <v>331</v>
      </c>
      <c r="B24" s="181">
        <f>SUM(B5,B6,B21,B22,B23)</f>
        <v>2615560</v>
      </c>
      <c r="C24" s="189" t="s">
        <v>332</v>
      </c>
      <c r="D24" s="181">
        <f>+D5+D8+D13</f>
        <v>2615560</v>
      </c>
    </row>
    <row r="25" spans="4:8" ht="15.75">
      <c r="D25" s="190"/>
      <c r="H25" s="190"/>
    </row>
    <row r="26" ht="15.75">
      <c r="D26" s="190"/>
    </row>
  </sheetData>
  <sheetProtection/>
  <mergeCells count="3">
    <mergeCell ref="A1:D1"/>
    <mergeCell ref="A3:B3"/>
    <mergeCell ref="C3:D3"/>
  </mergeCells>
  <printOptions horizontalCentered="1"/>
  <pageMargins left="0.79" right="0.79" top="0.98" bottom="0.98" header="0.2" footer="0.79"/>
  <pageSetup firstPageNumber="27" useFirstPageNumber="1"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B26" sqref="B26"/>
    </sheetView>
  </sheetViews>
  <sheetFormatPr defaultColWidth="9.00390625" defaultRowHeight="14.25"/>
  <cols>
    <col min="1" max="1" width="32.25390625" style="420" customWidth="1"/>
    <col min="2" max="2" width="14.875" style="420" customWidth="1"/>
    <col min="3" max="3" width="14.375" style="420" customWidth="1"/>
    <col min="4" max="4" width="13.375" style="420" customWidth="1"/>
    <col min="5" max="16384" width="9.00390625" style="420" customWidth="1"/>
  </cols>
  <sheetData>
    <row r="1" spans="1:6" s="419" customFormat="1" ht="39.75" customHeight="1">
      <c r="A1" s="456" t="s">
        <v>46</v>
      </c>
      <c r="B1" s="456"/>
      <c r="C1" s="456"/>
      <c r="D1" s="456"/>
      <c r="E1" s="447"/>
      <c r="F1" s="447"/>
    </row>
    <row r="2" spans="1:4" ht="20.25" customHeight="1">
      <c r="A2" s="439"/>
      <c r="B2" s="439"/>
      <c r="C2" s="439"/>
      <c r="D2" s="448" t="s">
        <v>1</v>
      </c>
    </row>
    <row r="3" spans="1:4" ht="31.5" customHeight="1">
      <c r="A3" s="77" t="s">
        <v>47</v>
      </c>
      <c r="B3" s="130" t="s">
        <v>48</v>
      </c>
      <c r="C3" s="253" t="s">
        <v>49</v>
      </c>
      <c r="D3" s="77" t="s">
        <v>50</v>
      </c>
    </row>
    <row r="4" spans="1:4" ht="25.5" customHeight="1">
      <c r="A4" s="421" t="s">
        <v>51</v>
      </c>
      <c r="B4" s="115">
        <v>365252</v>
      </c>
      <c r="C4" s="115">
        <v>285991</v>
      </c>
      <c r="D4" s="438">
        <f>+(B4-C4)/C4*100</f>
        <v>27.714508498519187</v>
      </c>
    </row>
    <row r="5" spans="1:4" ht="25.5" customHeight="1">
      <c r="A5" s="421" t="s">
        <v>52</v>
      </c>
      <c r="B5" s="115"/>
      <c r="C5" s="115"/>
      <c r="D5" s="438"/>
    </row>
    <row r="6" spans="1:4" ht="25.5" customHeight="1">
      <c r="A6" s="421" t="s">
        <v>53</v>
      </c>
      <c r="B6" s="115">
        <v>3163</v>
      </c>
      <c r="C6" s="115">
        <v>2535</v>
      </c>
      <c r="D6" s="438">
        <f aca="true" t="shared" si="0" ref="D6:D26">+(B6-C6)/C6*100</f>
        <v>24.77317554240631</v>
      </c>
    </row>
    <row r="7" spans="1:4" ht="25.5" customHeight="1">
      <c r="A7" s="421" t="s">
        <v>54</v>
      </c>
      <c r="B7" s="115">
        <v>122799</v>
      </c>
      <c r="C7" s="115">
        <v>103451</v>
      </c>
      <c r="D7" s="438">
        <f t="shared" si="0"/>
        <v>18.702574165546974</v>
      </c>
    </row>
    <row r="8" spans="1:4" ht="25.5" customHeight="1">
      <c r="A8" s="421" t="s">
        <v>55</v>
      </c>
      <c r="B8" s="115">
        <v>513596</v>
      </c>
      <c r="C8" s="115">
        <v>442843</v>
      </c>
      <c r="D8" s="438">
        <f t="shared" si="0"/>
        <v>15.976994104005257</v>
      </c>
    </row>
    <row r="9" spans="1:4" ht="25.5" customHeight="1">
      <c r="A9" s="421" t="s">
        <v>56</v>
      </c>
      <c r="B9" s="115">
        <v>24287</v>
      </c>
      <c r="C9" s="115">
        <v>19574</v>
      </c>
      <c r="D9" s="438">
        <f t="shared" si="0"/>
        <v>24.077858383570042</v>
      </c>
    </row>
    <row r="10" spans="1:4" ht="25.5" customHeight="1">
      <c r="A10" s="421" t="s">
        <v>57</v>
      </c>
      <c r="B10" s="115">
        <v>66800</v>
      </c>
      <c r="C10" s="115">
        <v>45621</v>
      </c>
      <c r="D10" s="438">
        <f t="shared" si="0"/>
        <v>46.42379605883256</v>
      </c>
    </row>
    <row r="11" spans="1:4" ht="25.5" customHeight="1">
      <c r="A11" s="421" t="s">
        <v>58</v>
      </c>
      <c r="B11" s="115">
        <v>559937</v>
      </c>
      <c r="C11" s="115">
        <v>483573</v>
      </c>
      <c r="D11" s="438">
        <f t="shared" si="0"/>
        <v>15.791617811581704</v>
      </c>
    </row>
    <row r="12" spans="1:4" ht="25.5" customHeight="1">
      <c r="A12" s="421" t="s">
        <v>59</v>
      </c>
      <c r="B12" s="115">
        <v>341878</v>
      </c>
      <c r="C12" s="115">
        <v>307122</v>
      </c>
      <c r="D12" s="438">
        <f t="shared" si="0"/>
        <v>11.316675457961331</v>
      </c>
    </row>
    <row r="13" spans="1:4" ht="25.5" customHeight="1">
      <c r="A13" s="421" t="s">
        <v>60</v>
      </c>
      <c r="B13" s="115">
        <v>68395</v>
      </c>
      <c r="C13" s="115">
        <v>51953</v>
      </c>
      <c r="D13" s="438">
        <f t="shared" si="0"/>
        <v>31.647835543664467</v>
      </c>
    </row>
    <row r="14" spans="1:4" ht="25.5" customHeight="1">
      <c r="A14" s="421" t="s">
        <v>61</v>
      </c>
      <c r="B14" s="115">
        <v>127430</v>
      </c>
      <c r="C14" s="115">
        <v>99235</v>
      </c>
      <c r="D14" s="438">
        <f t="shared" si="0"/>
        <v>28.41235451201693</v>
      </c>
    </row>
    <row r="15" spans="1:4" ht="25.5" customHeight="1">
      <c r="A15" s="421" t="s">
        <v>62</v>
      </c>
      <c r="B15" s="115">
        <v>372352</v>
      </c>
      <c r="C15" s="115">
        <v>369600</v>
      </c>
      <c r="D15" s="438">
        <f t="shared" si="0"/>
        <v>0.7445887445887446</v>
      </c>
    </row>
    <row r="16" spans="1:4" ht="25.5" customHeight="1">
      <c r="A16" s="421" t="s">
        <v>63</v>
      </c>
      <c r="B16" s="115">
        <f>129452-22385</f>
        <v>107067</v>
      </c>
      <c r="C16" s="115">
        <v>113325</v>
      </c>
      <c r="D16" s="438">
        <f t="shared" si="0"/>
        <v>-5.522170747849107</v>
      </c>
    </row>
    <row r="17" spans="1:4" ht="25.5" customHeight="1">
      <c r="A17" s="421" t="s">
        <v>64</v>
      </c>
      <c r="B17" s="115">
        <v>86835</v>
      </c>
      <c r="C17" s="115">
        <v>97783</v>
      </c>
      <c r="D17" s="438">
        <f t="shared" si="0"/>
        <v>-11.196220201875581</v>
      </c>
    </row>
    <row r="18" spans="1:4" ht="25.5" customHeight="1">
      <c r="A18" s="421" t="s">
        <v>65</v>
      </c>
      <c r="B18" s="115">
        <v>13632</v>
      </c>
      <c r="C18" s="115">
        <v>15108</v>
      </c>
      <c r="D18" s="438">
        <f t="shared" si="0"/>
        <v>-9.76965845909452</v>
      </c>
    </row>
    <row r="19" spans="1:4" ht="25.5" customHeight="1">
      <c r="A19" s="421" t="s">
        <v>66</v>
      </c>
      <c r="B19" s="115">
        <v>347</v>
      </c>
      <c r="C19" s="115">
        <v>319</v>
      </c>
      <c r="D19" s="438">
        <f t="shared" si="0"/>
        <v>8.77742946708464</v>
      </c>
    </row>
    <row r="20" spans="1:4" ht="25.5" customHeight="1">
      <c r="A20" s="421" t="s">
        <v>67</v>
      </c>
      <c r="B20" s="115">
        <v>200</v>
      </c>
      <c r="C20" s="115"/>
      <c r="D20" s="438"/>
    </row>
    <row r="21" spans="1:4" ht="25.5" customHeight="1">
      <c r="A21" s="421" t="s">
        <v>68</v>
      </c>
      <c r="B21" s="115">
        <v>23039</v>
      </c>
      <c r="C21" s="115">
        <v>21274</v>
      </c>
      <c r="D21" s="438">
        <f t="shared" si="0"/>
        <v>8.296512174485288</v>
      </c>
    </row>
    <row r="22" spans="1:4" ht="25.5" customHeight="1">
      <c r="A22" s="421" t="s">
        <v>69</v>
      </c>
      <c r="B22" s="115">
        <f>4000+206291</f>
        <v>210291</v>
      </c>
      <c r="C22" s="115">
        <v>212653</v>
      </c>
      <c r="D22" s="438">
        <f t="shared" si="0"/>
        <v>-1.1107296863905047</v>
      </c>
    </row>
    <row r="23" spans="1:4" ht="25.5" customHeight="1">
      <c r="A23" s="421" t="s">
        <v>70</v>
      </c>
      <c r="B23" s="115">
        <v>11069</v>
      </c>
      <c r="C23" s="115">
        <v>10273</v>
      </c>
      <c r="D23" s="438">
        <f t="shared" si="0"/>
        <v>7.74846685486226</v>
      </c>
    </row>
    <row r="24" spans="1:4" ht="25.5" customHeight="1">
      <c r="A24" s="422" t="s">
        <v>71</v>
      </c>
      <c r="B24" s="115">
        <f>2031+31042</f>
        <v>33073</v>
      </c>
      <c r="C24" s="115">
        <v>31135</v>
      </c>
      <c r="D24" s="438">
        <f t="shared" si="0"/>
        <v>6.224506182752529</v>
      </c>
    </row>
    <row r="25" spans="1:4" ht="25.5" customHeight="1">
      <c r="A25" s="421" t="s">
        <v>72</v>
      </c>
      <c r="B25" s="115">
        <v>31515</v>
      </c>
      <c r="C25" s="115">
        <v>35340</v>
      </c>
      <c r="D25" s="438">
        <f t="shared" si="0"/>
        <v>-10.823429541595925</v>
      </c>
    </row>
    <row r="26" spans="1:10" ht="25.5" customHeight="1">
      <c r="A26" s="119" t="s">
        <v>73</v>
      </c>
      <c r="B26" s="449">
        <f>SUM(B4:B25)</f>
        <v>3082957</v>
      </c>
      <c r="C26" s="393">
        <f>SUM(C4:C25)</f>
        <v>2748708</v>
      </c>
      <c r="D26" s="438">
        <f t="shared" si="0"/>
        <v>12.160222184386264</v>
      </c>
      <c r="J26" s="450"/>
    </row>
    <row r="27" spans="1:2" ht="15.75">
      <c r="A27" s="423"/>
      <c r="B27" s="423"/>
    </row>
    <row r="28" spans="1:4" ht="31.5" customHeight="1">
      <c r="A28" s="457"/>
      <c r="B28" s="457"/>
      <c r="C28" s="457"/>
      <c r="D28" s="457"/>
    </row>
    <row r="40" ht="15.75">
      <c r="A40" s="424"/>
    </row>
  </sheetData>
  <sheetProtection/>
  <mergeCells count="2">
    <mergeCell ref="A1:D1"/>
    <mergeCell ref="A28:D28"/>
  </mergeCells>
  <printOptions horizontalCentered="1"/>
  <pageMargins left="0.79" right="0.79" top="0.98" bottom="0.98" header="0.2" footer="0.79"/>
  <pageSetup firstPageNumber="2" useFirstPageNumber="1" horizontalDpi="600" verticalDpi="600" orientation="portrait" paperSize="9"/>
  <headerFooter scaleWithDoc="0" alignWithMargins="0"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zoomScalePageLayoutView="0" workbookViewId="0" topLeftCell="A10">
      <selection activeCell="D6" sqref="D6"/>
    </sheetView>
  </sheetViews>
  <sheetFormatPr defaultColWidth="9.25390625" defaultRowHeight="14.25"/>
  <cols>
    <col min="1" max="1" width="29.50390625" style="158" customWidth="1"/>
    <col min="2" max="2" width="14.875" style="158" customWidth="1"/>
    <col min="3" max="3" width="14.00390625" style="158" customWidth="1"/>
    <col min="4" max="4" width="13.75390625" style="158" customWidth="1"/>
    <col min="5" max="6" width="9.25390625" style="158" customWidth="1"/>
    <col min="7" max="8" width="9.25390625" style="158" hidden="1" customWidth="1"/>
    <col min="9" max="16384" width="9.25390625" style="158" customWidth="1"/>
  </cols>
  <sheetData>
    <row r="1" spans="1:6" s="157" customFormat="1" ht="40.5" customHeight="1">
      <c r="A1" s="483" t="s">
        <v>333</v>
      </c>
      <c r="B1" s="483"/>
      <c r="C1" s="483"/>
      <c r="D1" s="483"/>
      <c r="E1" s="159"/>
      <c r="F1" s="159"/>
    </row>
    <row r="2" ht="20.25" customHeight="1">
      <c r="D2" s="238" t="s">
        <v>334</v>
      </c>
    </row>
    <row r="3" spans="1:4" ht="31.5" customHeight="1">
      <c r="A3" s="239" t="s">
        <v>335</v>
      </c>
      <c r="B3" s="240" t="s">
        <v>336</v>
      </c>
      <c r="C3" s="241" t="s">
        <v>337</v>
      </c>
      <c r="D3" s="242" t="s">
        <v>338</v>
      </c>
    </row>
    <row r="4" spans="1:4" ht="14.25" customHeight="1">
      <c r="A4" s="161" t="s">
        <v>8</v>
      </c>
      <c r="B4" s="168">
        <f>SUM(B5:B19)</f>
        <v>63464</v>
      </c>
      <c r="C4" s="168">
        <f>SUM(C5:C19)</f>
        <v>71666</v>
      </c>
      <c r="D4" s="167">
        <f>+(C4-B4)/B4*100</f>
        <v>12.923862347157444</v>
      </c>
    </row>
    <row r="5" spans="1:4" ht="14.25" customHeight="1">
      <c r="A5" s="161" t="s">
        <v>9</v>
      </c>
      <c r="B5" s="168">
        <v>11414</v>
      </c>
      <c r="C5" s="168">
        <v>21000</v>
      </c>
      <c r="D5" s="167">
        <f aca="true" t="shared" si="0" ref="D5:D40">+(C5-B5)/B5*100</f>
        <v>83.98458033993342</v>
      </c>
    </row>
    <row r="6" spans="1:8" ht="14.25" customHeight="1">
      <c r="A6" s="161" t="s">
        <v>10</v>
      </c>
      <c r="B6" s="168">
        <v>7556</v>
      </c>
      <c r="C6" s="168"/>
      <c r="D6" s="167"/>
      <c r="G6" s="158">
        <f>+B5+B6</f>
        <v>18970</v>
      </c>
      <c r="H6" s="158">
        <f>+C5/G6</f>
        <v>1.1070110701107012</v>
      </c>
    </row>
    <row r="7" spans="1:4" ht="14.25" customHeight="1">
      <c r="A7" s="161" t="s">
        <v>11</v>
      </c>
      <c r="B7" s="168">
        <v>5996</v>
      </c>
      <c r="C7" s="168">
        <v>6200</v>
      </c>
      <c r="D7" s="167">
        <f t="shared" si="0"/>
        <v>3.402268178785857</v>
      </c>
    </row>
    <row r="8" spans="1:4" ht="14.25" customHeight="1" hidden="1">
      <c r="A8" s="161" t="s">
        <v>12</v>
      </c>
      <c r="B8" s="168"/>
      <c r="C8" s="168"/>
      <c r="D8" s="167"/>
    </row>
    <row r="9" spans="1:4" ht="14.25" customHeight="1">
      <c r="A9" s="161" t="s">
        <v>13</v>
      </c>
      <c r="B9" s="168">
        <v>958</v>
      </c>
      <c r="C9" s="168">
        <v>960</v>
      </c>
      <c r="D9" s="167">
        <f t="shared" si="0"/>
        <v>0.20876826722338201</v>
      </c>
    </row>
    <row r="10" spans="1:4" ht="14.25" customHeight="1">
      <c r="A10" s="161" t="s">
        <v>14</v>
      </c>
      <c r="B10" s="168"/>
      <c r="C10" s="168"/>
      <c r="D10" s="167"/>
    </row>
    <row r="11" spans="1:4" ht="14.25" customHeight="1">
      <c r="A11" s="161" t="s">
        <v>15</v>
      </c>
      <c r="B11" s="168">
        <v>12898</v>
      </c>
      <c r="C11" s="168">
        <v>14850</v>
      </c>
      <c r="D11" s="167">
        <f t="shared" si="0"/>
        <v>15.13412932237556</v>
      </c>
    </row>
    <row r="12" spans="1:4" ht="14.25" customHeight="1">
      <c r="A12" s="161" t="s">
        <v>16</v>
      </c>
      <c r="B12" s="168">
        <v>531</v>
      </c>
      <c r="C12" s="168">
        <v>570</v>
      </c>
      <c r="D12" s="167">
        <f t="shared" si="0"/>
        <v>7.344632768361582</v>
      </c>
    </row>
    <row r="13" spans="1:4" ht="14.25" customHeight="1">
      <c r="A13" s="161" t="s">
        <v>17</v>
      </c>
      <c r="B13" s="168">
        <v>449</v>
      </c>
      <c r="C13" s="168">
        <v>480</v>
      </c>
      <c r="D13" s="167">
        <f t="shared" si="0"/>
        <v>6.904231625835189</v>
      </c>
    </row>
    <row r="14" spans="1:4" ht="14.25" customHeight="1">
      <c r="A14" s="161" t="s">
        <v>18</v>
      </c>
      <c r="B14" s="168">
        <v>703</v>
      </c>
      <c r="C14" s="168">
        <v>750</v>
      </c>
      <c r="D14" s="167">
        <f t="shared" si="0"/>
        <v>6.685633001422476</v>
      </c>
    </row>
    <row r="15" spans="1:4" ht="14.25" customHeight="1">
      <c r="A15" s="161" t="s">
        <v>19</v>
      </c>
      <c r="B15" s="168">
        <v>382</v>
      </c>
      <c r="C15" s="168">
        <v>410</v>
      </c>
      <c r="D15" s="167">
        <f t="shared" si="0"/>
        <v>7.329842931937172</v>
      </c>
    </row>
    <row r="16" spans="1:4" ht="14.25" customHeight="1">
      <c r="A16" s="161" t="s">
        <v>20</v>
      </c>
      <c r="B16" s="168"/>
      <c r="C16" s="168"/>
      <c r="D16" s="167"/>
    </row>
    <row r="17" spans="1:4" ht="14.25" customHeight="1">
      <c r="A17" s="161" t="s">
        <v>21</v>
      </c>
      <c r="B17" s="168">
        <v>1611</v>
      </c>
      <c r="C17" s="168">
        <v>2740</v>
      </c>
      <c r="D17" s="167">
        <f t="shared" si="0"/>
        <v>70.08069522036003</v>
      </c>
    </row>
    <row r="18" spans="1:4" ht="14.25" customHeight="1">
      <c r="A18" s="161" t="s">
        <v>22</v>
      </c>
      <c r="B18" s="168">
        <v>20966</v>
      </c>
      <c r="C18" s="168">
        <v>23706</v>
      </c>
      <c r="D18" s="167">
        <f t="shared" si="0"/>
        <v>13.068778021558714</v>
      </c>
    </row>
    <row r="19" spans="1:4" ht="14.25" customHeight="1">
      <c r="A19" s="161" t="s">
        <v>23</v>
      </c>
      <c r="B19" s="168"/>
      <c r="C19" s="168"/>
      <c r="D19" s="167"/>
    </row>
    <row r="20" spans="1:4" ht="14.25" customHeight="1">
      <c r="A20" s="161" t="s">
        <v>24</v>
      </c>
      <c r="B20" s="168">
        <f>SUM(B21:B28)</f>
        <v>69759</v>
      </c>
      <c r="C20" s="168">
        <f>SUM(C21:C28)</f>
        <v>70166</v>
      </c>
      <c r="D20" s="167">
        <f t="shared" si="0"/>
        <v>0.5834372625754383</v>
      </c>
    </row>
    <row r="21" spans="1:4" ht="14.25" customHeight="1">
      <c r="A21" s="161" t="s">
        <v>25</v>
      </c>
      <c r="B21" s="168">
        <v>7021</v>
      </c>
      <c r="C21" s="168">
        <v>9781</v>
      </c>
      <c r="D21" s="167">
        <f t="shared" si="0"/>
        <v>39.310639510041305</v>
      </c>
    </row>
    <row r="22" spans="1:4" ht="14.25" customHeight="1">
      <c r="A22" s="161" t="s">
        <v>26</v>
      </c>
      <c r="B22" s="168">
        <v>17792</v>
      </c>
      <c r="C22" s="168">
        <v>14359</v>
      </c>
      <c r="D22" s="167">
        <f t="shared" si="0"/>
        <v>-19.295188848920862</v>
      </c>
    </row>
    <row r="23" spans="1:4" ht="14.25" customHeight="1">
      <c r="A23" s="161" t="s">
        <v>27</v>
      </c>
      <c r="B23" s="168">
        <v>11197</v>
      </c>
      <c r="C23" s="168">
        <v>20761</v>
      </c>
      <c r="D23" s="167">
        <f t="shared" si="0"/>
        <v>85.41573635795302</v>
      </c>
    </row>
    <row r="24" spans="1:4" ht="14.25" customHeight="1">
      <c r="A24" s="161" t="s">
        <v>28</v>
      </c>
      <c r="B24" s="168"/>
      <c r="C24" s="168"/>
      <c r="D24" s="167"/>
    </row>
    <row r="25" spans="1:4" ht="14.25" customHeight="1">
      <c r="A25" s="161" t="s">
        <v>29</v>
      </c>
      <c r="B25" s="168">
        <v>22757</v>
      </c>
      <c r="C25" s="168">
        <v>14885</v>
      </c>
      <c r="D25" s="167">
        <f t="shared" si="0"/>
        <v>-34.59155424704486</v>
      </c>
    </row>
    <row r="26" spans="1:4" ht="14.25" customHeight="1">
      <c r="A26" s="161" t="s">
        <v>30</v>
      </c>
      <c r="B26" s="168">
        <v>132</v>
      </c>
      <c r="C26" s="168"/>
      <c r="D26" s="167"/>
    </row>
    <row r="27" spans="1:4" ht="14.25" customHeight="1">
      <c r="A27" s="161" t="s">
        <v>31</v>
      </c>
      <c r="B27" s="168">
        <v>7614</v>
      </c>
      <c r="C27" s="168">
        <v>8080</v>
      </c>
      <c r="D27" s="167">
        <f t="shared" si="0"/>
        <v>6.120304701864986</v>
      </c>
    </row>
    <row r="28" spans="1:4" ht="14.25" customHeight="1">
      <c r="A28" s="161" t="s">
        <v>32</v>
      </c>
      <c r="B28" s="168">
        <v>3246</v>
      </c>
      <c r="C28" s="168">
        <v>2300</v>
      </c>
      <c r="D28" s="167">
        <f t="shared" si="0"/>
        <v>-29.14356130622304</v>
      </c>
    </row>
    <row r="29" spans="1:4" ht="14.25" customHeight="1">
      <c r="A29" s="162" t="s">
        <v>33</v>
      </c>
      <c r="B29" s="168">
        <f>+B4+B20</f>
        <v>133223</v>
      </c>
      <c r="C29" s="168">
        <f>+C4+C20</f>
        <v>141832</v>
      </c>
      <c r="D29" s="167">
        <f t="shared" si="0"/>
        <v>6.462097385586572</v>
      </c>
    </row>
    <row r="30" spans="1:4" ht="14.25" customHeight="1">
      <c r="A30" s="163" t="s">
        <v>34</v>
      </c>
      <c r="B30" s="168">
        <f>SUM(B31:B33)</f>
        <v>88219</v>
      </c>
      <c r="C30" s="168">
        <f>SUM(C31:C33)</f>
        <v>94998</v>
      </c>
      <c r="D30" s="167">
        <f t="shared" si="0"/>
        <v>7.684285698092248</v>
      </c>
    </row>
    <row r="31" spans="1:4" ht="14.25" customHeight="1">
      <c r="A31" s="161" t="s">
        <v>35</v>
      </c>
      <c r="B31" s="168">
        <v>20765</v>
      </c>
      <c r="C31" s="168">
        <v>28000</v>
      </c>
      <c r="D31" s="167">
        <f t="shared" si="0"/>
        <v>34.84228268721406</v>
      </c>
    </row>
    <row r="32" spans="1:4" ht="14.25" customHeight="1">
      <c r="A32" s="161" t="s">
        <v>36</v>
      </c>
      <c r="B32" s="168">
        <v>52552</v>
      </c>
      <c r="C32" s="168">
        <v>51655</v>
      </c>
      <c r="D32" s="167">
        <f t="shared" si="0"/>
        <v>-1.7068808037753083</v>
      </c>
    </row>
    <row r="33" spans="1:4" ht="14.25" customHeight="1">
      <c r="A33" s="161" t="s">
        <v>37</v>
      </c>
      <c r="B33" s="168">
        <v>14902</v>
      </c>
      <c r="C33" s="168">
        <v>15343</v>
      </c>
      <c r="D33" s="167">
        <f t="shared" si="0"/>
        <v>2.9593343175412694</v>
      </c>
    </row>
    <row r="34" spans="1:4" ht="14.25" customHeight="1">
      <c r="A34" s="163" t="s">
        <v>38</v>
      </c>
      <c r="B34" s="168">
        <f>SUM(B35:B39)</f>
        <v>9605</v>
      </c>
      <c r="C34" s="168">
        <f>SUM(C35:C39)</f>
        <v>10390</v>
      </c>
      <c r="D34" s="167">
        <f t="shared" si="0"/>
        <v>8.172826652785007</v>
      </c>
    </row>
    <row r="35" spans="1:4" ht="14.25" customHeight="1">
      <c r="A35" s="161" t="s">
        <v>39</v>
      </c>
      <c r="B35" s="168">
        <v>3805</v>
      </c>
      <c r="C35" s="168">
        <v>7000</v>
      </c>
      <c r="D35" s="167">
        <f t="shared" si="0"/>
        <v>83.96846254927726</v>
      </c>
    </row>
    <row r="36" spans="1:4" ht="14.25" customHeight="1">
      <c r="A36" s="161" t="s">
        <v>40</v>
      </c>
      <c r="B36" s="168">
        <v>2518</v>
      </c>
      <c r="C36" s="168"/>
      <c r="D36" s="167"/>
    </row>
    <row r="37" spans="1:4" ht="14.25" customHeight="1">
      <c r="A37" s="161" t="s">
        <v>41</v>
      </c>
      <c r="B37" s="168">
        <v>2981</v>
      </c>
      <c r="C37" s="168">
        <v>3069</v>
      </c>
      <c r="D37" s="167">
        <f t="shared" si="0"/>
        <v>2.952029520295203</v>
      </c>
    </row>
    <row r="38" spans="1:4" ht="14.25" customHeight="1">
      <c r="A38" s="161" t="s">
        <v>42</v>
      </c>
      <c r="B38" s="168"/>
      <c r="C38" s="168"/>
      <c r="D38" s="167"/>
    </row>
    <row r="39" spans="1:4" ht="14.25" customHeight="1">
      <c r="A39" s="161" t="s">
        <v>43</v>
      </c>
      <c r="B39" s="168">
        <v>301</v>
      </c>
      <c r="C39" s="168">
        <v>321</v>
      </c>
      <c r="D39" s="167">
        <f t="shared" si="0"/>
        <v>6.64451827242525</v>
      </c>
    </row>
    <row r="40" spans="1:4" ht="21.75" customHeight="1">
      <c r="A40" s="162" t="s">
        <v>44</v>
      </c>
      <c r="B40" s="168">
        <f>+B29+B30+B34</f>
        <v>231047</v>
      </c>
      <c r="C40" s="168">
        <f>+C29+C30+C34</f>
        <v>247220</v>
      </c>
      <c r="D40" s="167">
        <f t="shared" si="0"/>
        <v>6.9998744844122625</v>
      </c>
    </row>
    <row r="41" spans="1:4" ht="58.5" customHeight="1">
      <c r="A41" s="455" t="s">
        <v>339</v>
      </c>
      <c r="B41" s="455"/>
      <c r="C41" s="455"/>
      <c r="D41" s="455"/>
    </row>
  </sheetData>
  <sheetProtection/>
  <mergeCells count="2">
    <mergeCell ref="A1:D1"/>
    <mergeCell ref="A41:D41"/>
  </mergeCells>
  <printOptions horizontalCentered="1"/>
  <pageMargins left="0.79" right="0.79" top="0.98" bottom="0.98" header="0.2" footer="0.79"/>
  <pageSetup firstPageNumber="28" useFirstPageNumber="1" horizontalDpi="180" verticalDpi="180" orientation="portrait" paperSize="9"/>
  <headerFooter scaleWithDoc="0" alignWithMargins="0">
    <oddFooter>&amp;C第 &amp;P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38"/>
  <sheetViews>
    <sheetView showZeros="0" zoomScalePageLayoutView="0" workbookViewId="0" topLeftCell="A7">
      <selection activeCell="D6" sqref="D6"/>
    </sheetView>
  </sheetViews>
  <sheetFormatPr defaultColWidth="9.00390625" defaultRowHeight="14.25"/>
  <cols>
    <col min="1" max="1" width="32.25390625" style="149" customWidth="1"/>
    <col min="2" max="2" width="14.375" style="149" customWidth="1"/>
    <col min="3" max="3" width="14.25390625" style="224" customWidth="1"/>
    <col min="4" max="4" width="13.75390625" style="224" customWidth="1"/>
    <col min="5" max="12" width="9.00390625" style="149" hidden="1" customWidth="1"/>
    <col min="13" max="16384" width="9.00390625" style="149" customWidth="1"/>
  </cols>
  <sheetData>
    <row r="1" spans="1:6" s="146" customFormat="1" ht="39" customHeight="1">
      <c r="A1" s="225" t="s">
        <v>340</v>
      </c>
      <c r="B1" s="135"/>
      <c r="C1" s="226"/>
      <c r="D1" s="226"/>
      <c r="E1" s="150"/>
      <c r="F1" s="150"/>
    </row>
    <row r="2" spans="1:4" ht="18.75" customHeight="1">
      <c r="A2" s="147"/>
      <c r="B2" s="147"/>
      <c r="C2" s="148"/>
      <c r="D2" s="227" t="s">
        <v>341</v>
      </c>
    </row>
    <row r="3" spans="1:10" ht="29.25" customHeight="1">
      <c r="A3" s="77" t="s">
        <v>284</v>
      </c>
      <c r="B3" s="151" t="s">
        <v>342</v>
      </c>
      <c r="C3" s="151" t="s">
        <v>343</v>
      </c>
      <c r="D3" s="151" t="s">
        <v>287</v>
      </c>
      <c r="E3" s="152" t="s">
        <v>288</v>
      </c>
      <c r="F3" s="149" t="s">
        <v>289</v>
      </c>
      <c r="J3" s="149" t="s">
        <v>290</v>
      </c>
    </row>
    <row r="4" spans="1:12" s="147" customFormat="1" ht="22.5" customHeight="1">
      <c r="A4" s="228" t="s">
        <v>51</v>
      </c>
      <c r="B4" s="153">
        <v>57693</v>
      </c>
      <c r="C4" s="153">
        <v>68100</v>
      </c>
      <c r="D4" s="155">
        <f>+(C4-B4)/B4*100</f>
        <v>18.038583536997557</v>
      </c>
      <c r="E4" s="147">
        <v>42029</v>
      </c>
      <c r="F4" s="147">
        <v>40043</v>
      </c>
      <c r="G4" s="147">
        <f>+E4/F4</f>
        <v>1.0495966835651676</v>
      </c>
      <c r="H4" s="147">
        <v>4.42</v>
      </c>
      <c r="I4" s="147">
        <f>C4/(H4/100+1)</f>
        <v>65217.391304347824</v>
      </c>
      <c r="J4" s="147">
        <f>ROUND(I4,0)</f>
        <v>65217</v>
      </c>
      <c r="K4" s="164">
        <f>+B4-F4</f>
        <v>17650</v>
      </c>
      <c r="L4" s="164">
        <f>+E4+B4</f>
        <v>99722</v>
      </c>
    </row>
    <row r="5" spans="1:12" s="147" customFormat="1" ht="22.5" customHeight="1">
      <c r="A5" s="228" t="s">
        <v>52</v>
      </c>
      <c r="B5" s="153">
        <v>0</v>
      </c>
      <c r="C5" s="153">
        <v>0</v>
      </c>
      <c r="D5" s="155"/>
      <c r="E5" s="147">
        <v>0</v>
      </c>
      <c r="F5" s="147">
        <v>0</v>
      </c>
      <c r="G5" s="147" t="e">
        <f aca="true" t="shared" si="0" ref="G5:G26">+E5/F5</f>
        <v>#DIV/0!</v>
      </c>
      <c r="I5" s="147">
        <f aca="true" t="shared" si="1" ref="I5:I24">C5/(H5/100+1)</f>
        <v>0</v>
      </c>
      <c r="J5" s="147">
        <f aca="true" t="shared" si="2" ref="J5:J24">ROUND(I5,0)</f>
        <v>0</v>
      </c>
      <c r="K5" s="164">
        <f aca="true" t="shared" si="3" ref="K5:K24">+B5-F5</f>
        <v>0</v>
      </c>
      <c r="L5" s="164">
        <f aca="true" t="shared" si="4" ref="L5:L27">+E5+B5</f>
        <v>0</v>
      </c>
    </row>
    <row r="6" spans="1:12" s="147" customFormat="1" ht="22.5" customHeight="1">
      <c r="A6" s="228" t="s">
        <v>53</v>
      </c>
      <c r="B6" s="153">
        <v>1615</v>
      </c>
      <c r="C6" s="153">
        <v>2022</v>
      </c>
      <c r="D6" s="155">
        <f aca="true" t="shared" si="5" ref="D6:D29">+(C6-B6)/B6*100</f>
        <v>25.20123839009288</v>
      </c>
      <c r="E6" s="147">
        <v>1065</v>
      </c>
      <c r="F6" s="147">
        <v>0</v>
      </c>
      <c r="G6" s="147" t="e">
        <f t="shared" si="0"/>
        <v>#DIV/0!</v>
      </c>
      <c r="H6" s="147">
        <v>51.94</v>
      </c>
      <c r="I6" s="147">
        <f t="shared" si="1"/>
        <v>1330.7884691325523</v>
      </c>
      <c r="J6" s="147">
        <f t="shared" si="2"/>
        <v>1331</v>
      </c>
      <c r="K6" s="164">
        <f t="shared" si="3"/>
        <v>1615</v>
      </c>
      <c r="L6" s="164">
        <f t="shared" si="4"/>
        <v>2680</v>
      </c>
    </row>
    <row r="7" spans="1:12" s="147" customFormat="1" ht="22.5" customHeight="1">
      <c r="A7" s="228" t="s">
        <v>54</v>
      </c>
      <c r="B7" s="153">
        <v>43206</v>
      </c>
      <c r="C7" s="153">
        <v>53161</v>
      </c>
      <c r="D7" s="155">
        <f t="shared" si="5"/>
        <v>23.040781372957458</v>
      </c>
      <c r="E7" s="147">
        <v>42104</v>
      </c>
      <c r="F7" s="147">
        <v>33471</v>
      </c>
      <c r="G7" s="147">
        <f t="shared" si="0"/>
        <v>1.2579247706970214</v>
      </c>
      <c r="H7" s="147">
        <v>5.4</v>
      </c>
      <c r="I7" s="147">
        <f t="shared" si="1"/>
        <v>50437.38140417457</v>
      </c>
      <c r="J7" s="147">
        <f t="shared" si="2"/>
        <v>50437</v>
      </c>
      <c r="K7" s="164">
        <f t="shared" si="3"/>
        <v>9735</v>
      </c>
      <c r="L7" s="164">
        <f t="shared" si="4"/>
        <v>85310</v>
      </c>
    </row>
    <row r="8" spans="1:12" s="147" customFormat="1" ht="22.5" customHeight="1">
      <c r="A8" s="228" t="s">
        <v>55</v>
      </c>
      <c r="B8" s="153">
        <v>20634</v>
      </c>
      <c r="C8" s="153">
        <v>25252</v>
      </c>
      <c r="D8" s="155">
        <f t="shared" si="5"/>
        <v>22.380536977803626</v>
      </c>
      <c r="E8" s="147">
        <v>22238</v>
      </c>
      <c r="F8" s="147">
        <v>14538</v>
      </c>
      <c r="G8" s="147">
        <f t="shared" si="0"/>
        <v>1.5296464438024489</v>
      </c>
      <c r="H8" s="147">
        <v>5.14</v>
      </c>
      <c r="I8" s="147">
        <f t="shared" si="1"/>
        <v>24017.500475556404</v>
      </c>
      <c r="J8" s="147">
        <f t="shared" si="2"/>
        <v>24018</v>
      </c>
      <c r="K8" s="164">
        <f t="shared" si="3"/>
        <v>6096</v>
      </c>
      <c r="L8" s="164">
        <f t="shared" si="4"/>
        <v>42872</v>
      </c>
    </row>
    <row r="9" spans="1:12" s="147" customFormat="1" ht="22.5" customHeight="1">
      <c r="A9" s="228" t="s">
        <v>56</v>
      </c>
      <c r="B9" s="153">
        <v>4591</v>
      </c>
      <c r="C9" s="153">
        <v>5282</v>
      </c>
      <c r="D9" s="155">
        <f t="shared" si="5"/>
        <v>15.051187105205837</v>
      </c>
      <c r="E9" s="147">
        <v>3793</v>
      </c>
      <c r="F9" s="147">
        <v>3574</v>
      </c>
      <c r="G9" s="147">
        <f t="shared" si="0"/>
        <v>1.0612758813654168</v>
      </c>
      <c r="H9" s="147">
        <v>24.49</v>
      </c>
      <c r="I9" s="147">
        <f t="shared" si="1"/>
        <v>4242.911077194955</v>
      </c>
      <c r="J9" s="147">
        <f t="shared" si="2"/>
        <v>4243</v>
      </c>
      <c r="K9" s="164">
        <f t="shared" si="3"/>
        <v>1017</v>
      </c>
      <c r="L9" s="164">
        <f t="shared" si="4"/>
        <v>8384</v>
      </c>
    </row>
    <row r="10" spans="1:12" s="147" customFormat="1" ht="22.5" customHeight="1">
      <c r="A10" s="228" t="s">
        <v>57</v>
      </c>
      <c r="B10" s="153">
        <v>13550</v>
      </c>
      <c r="C10" s="153">
        <v>13919</v>
      </c>
      <c r="D10" s="155">
        <f t="shared" si="5"/>
        <v>2.7232472324723247</v>
      </c>
      <c r="E10" s="147">
        <v>9030</v>
      </c>
      <c r="F10" s="147">
        <v>3619</v>
      </c>
      <c r="G10" s="147">
        <f t="shared" si="0"/>
        <v>2.495164410058027</v>
      </c>
      <c r="H10" s="147">
        <v>49.42</v>
      </c>
      <c r="I10" s="147">
        <f t="shared" si="1"/>
        <v>9315.352697095435</v>
      </c>
      <c r="J10" s="147">
        <f t="shared" si="2"/>
        <v>9315</v>
      </c>
      <c r="K10" s="164">
        <f t="shared" si="3"/>
        <v>9931</v>
      </c>
      <c r="L10" s="164">
        <f t="shared" si="4"/>
        <v>22580</v>
      </c>
    </row>
    <row r="11" spans="1:12" s="147" customFormat="1" ht="22.5" customHeight="1">
      <c r="A11" s="228" t="s">
        <v>58</v>
      </c>
      <c r="B11" s="153">
        <v>88273</v>
      </c>
      <c r="C11" s="153">
        <v>94893</v>
      </c>
      <c r="D11" s="155">
        <f t="shared" si="5"/>
        <v>7.499461896616179</v>
      </c>
      <c r="E11" s="147">
        <v>77147</v>
      </c>
      <c r="F11" s="147">
        <v>57637</v>
      </c>
      <c r="G11" s="147">
        <f t="shared" si="0"/>
        <v>1.3384978399292122</v>
      </c>
      <c r="H11" s="147">
        <v>13.24</v>
      </c>
      <c r="I11" s="147">
        <f t="shared" si="1"/>
        <v>83798.12787001059</v>
      </c>
      <c r="J11" s="147">
        <f t="shared" si="2"/>
        <v>83798</v>
      </c>
      <c r="K11" s="164">
        <f t="shared" si="3"/>
        <v>30636</v>
      </c>
      <c r="L11" s="164">
        <f t="shared" si="4"/>
        <v>165420</v>
      </c>
    </row>
    <row r="12" spans="1:12" s="147" customFormat="1" ht="22.5" customHeight="1">
      <c r="A12" s="228" t="s">
        <v>59</v>
      </c>
      <c r="B12" s="153">
        <v>16745</v>
      </c>
      <c r="C12" s="153">
        <v>19983</v>
      </c>
      <c r="D12" s="155">
        <f t="shared" si="5"/>
        <v>19.33711555688265</v>
      </c>
      <c r="E12" s="147">
        <v>24168</v>
      </c>
      <c r="F12" s="147">
        <v>9916</v>
      </c>
      <c r="G12" s="147">
        <f t="shared" si="0"/>
        <v>2.437273093989512</v>
      </c>
      <c r="H12" s="147">
        <v>8.7</v>
      </c>
      <c r="I12" s="147">
        <f t="shared" si="1"/>
        <v>18383.6246550138</v>
      </c>
      <c r="J12" s="147">
        <f t="shared" si="2"/>
        <v>18384</v>
      </c>
      <c r="K12" s="164">
        <f t="shared" si="3"/>
        <v>6829</v>
      </c>
      <c r="L12" s="164">
        <f t="shared" si="4"/>
        <v>40913</v>
      </c>
    </row>
    <row r="13" spans="1:12" s="147" customFormat="1" ht="22.5" customHeight="1">
      <c r="A13" s="228" t="s">
        <v>60</v>
      </c>
      <c r="B13" s="153">
        <v>2872</v>
      </c>
      <c r="C13" s="153">
        <v>3297</v>
      </c>
      <c r="D13" s="155">
        <f t="shared" si="5"/>
        <v>14.798050139275768</v>
      </c>
      <c r="E13" s="147">
        <v>6793</v>
      </c>
      <c r="F13" s="147">
        <v>1733</v>
      </c>
      <c r="G13" s="147">
        <f t="shared" si="0"/>
        <v>3.919792267743797</v>
      </c>
      <c r="H13" s="147">
        <v>5.43</v>
      </c>
      <c r="I13" s="147">
        <f t="shared" si="1"/>
        <v>3127.193398463435</v>
      </c>
      <c r="J13" s="147">
        <f t="shared" si="2"/>
        <v>3127</v>
      </c>
      <c r="K13" s="164">
        <f t="shared" si="3"/>
        <v>1139</v>
      </c>
      <c r="L13" s="164">
        <f t="shared" si="4"/>
        <v>9665</v>
      </c>
    </row>
    <row r="14" spans="1:12" s="147" customFormat="1" ht="22.5" customHeight="1">
      <c r="A14" s="228" t="s">
        <v>61</v>
      </c>
      <c r="B14" s="153">
        <v>34724</v>
      </c>
      <c r="C14" s="153">
        <v>23154</v>
      </c>
      <c r="D14" s="155">
        <f t="shared" si="5"/>
        <v>-33.31989402142611</v>
      </c>
      <c r="E14" s="147">
        <v>31919</v>
      </c>
      <c r="F14" s="147">
        <v>13402</v>
      </c>
      <c r="G14" s="147">
        <f t="shared" si="0"/>
        <v>2.3816594538128637</v>
      </c>
      <c r="H14" s="147">
        <v>-12.22</v>
      </c>
      <c r="I14" s="147">
        <f t="shared" si="1"/>
        <v>26377.30690362269</v>
      </c>
      <c r="J14" s="147">
        <f t="shared" si="2"/>
        <v>26377</v>
      </c>
      <c r="K14" s="164">
        <f t="shared" si="3"/>
        <v>21322</v>
      </c>
      <c r="L14" s="164">
        <f t="shared" si="4"/>
        <v>66643</v>
      </c>
    </row>
    <row r="15" spans="1:12" s="147" customFormat="1" ht="22.5" customHeight="1">
      <c r="A15" s="228" t="s">
        <v>62</v>
      </c>
      <c r="B15" s="153">
        <v>13252</v>
      </c>
      <c r="C15" s="153">
        <v>15564</v>
      </c>
      <c r="D15" s="155">
        <f t="shared" si="5"/>
        <v>17.44642318140658</v>
      </c>
      <c r="E15" s="147">
        <v>28899</v>
      </c>
      <c r="F15" s="147">
        <v>11871</v>
      </c>
      <c r="G15" s="147">
        <f t="shared" si="0"/>
        <v>2.434420015163002</v>
      </c>
      <c r="H15" s="147">
        <v>12.51</v>
      </c>
      <c r="I15" s="147">
        <f t="shared" si="1"/>
        <v>13833.43702781975</v>
      </c>
      <c r="J15" s="147">
        <f t="shared" si="2"/>
        <v>13833</v>
      </c>
      <c r="K15" s="164">
        <f t="shared" si="3"/>
        <v>1381</v>
      </c>
      <c r="L15" s="164">
        <f t="shared" si="4"/>
        <v>42151</v>
      </c>
    </row>
    <row r="16" spans="1:12" s="147" customFormat="1" ht="22.5" customHeight="1">
      <c r="A16" s="228" t="s">
        <v>63</v>
      </c>
      <c r="B16" s="153">
        <v>20915</v>
      </c>
      <c r="C16" s="153">
        <v>25078</v>
      </c>
      <c r="D16" s="155">
        <f t="shared" si="5"/>
        <v>19.904374850585704</v>
      </c>
      <c r="E16" s="147">
        <v>52861</v>
      </c>
      <c r="F16" s="147">
        <v>10177</v>
      </c>
      <c r="G16" s="147">
        <f t="shared" si="0"/>
        <v>5.194163309423209</v>
      </c>
      <c r="H16" s="147">
        <v>-18.97</v>
      </c>
      <c r="I16" s="147">
        <f t="shared" si="1"/>
        <v>30949.031223003825</v>
      </c>
      <c r="J16" s="147">
        <f t="shared" si="2"/>
        <v>30949</v>
      </c>
      <c r="K16" s="164">
        <f t="shared" si="3"/>
        <v>10738</v>
      </c>
      <c r="L16" s="164">
        <f t="shared" si="4"/>
        <v>73776</v>
      </c>
    </row>
    <row r="17" spans="1:12" s="147" customFormat="1" ht="22.5" customHeight="1">
      <c r="A17" s="228" t="s">
        <v>64</v>
      </c>
      <c r="B17" s="153">
        <v>2890</v>
      </c>
      <c r="C17" s="153">
        <v>3395</v>
      </c>
      <c r="D17" s="155">
        <f t="shared" si="5"/>
        <v>17.474048442906575</v>
      </c>
      <c r="E17" s="147">
        <v>3734</v>
      </c>
      <c r="F17" s="147">
        <v>830</v>
      </c>
      <c r="G17" s="147">
        <f t="shared" si="0"/>
        <v>4.498795180722891</v>
      </c>
      <c r="H17" s="147">
        <v>5.98</v>
      </c>
      <c r="I17" s="147">
        <f t="shared" si="1"/>
        <v>3203.4346103038306</v>
      </c>
      <c r="J17" s="147">
        <f t="shared" si="2"/>
        <v>3203</v>
      </c>
      <c r="K17" s="164">
        <f t="shared" si="3"/>
        <v>2060</v>
      </c>
      <c r="L17" s="164">
        <f t="shared" si="4"/>
        <v>6624</v>
      </c>
    </row>
    <row r="18" spans="1:12" s="147" customFormat="1" ht="22.5" customHeight="1">
      <c r="A18" s="228" t="s">
        <v>65</v>
      </c>
      <c r="B18" s="153">
        <v>1129</v>
      </c>
      <c r="C18" s="153">
        <v>1341</v>
      </c>
      <c r="D18" s="155">
        <f t="shared" si="5"/>
        <v>18.777679362267495</v>
      </c>
      <c r="E18" s="147">
        <v>2091</v>
      </c>
      <c r="F18" s="147">
        <v>668</v>
      </c>
      <c r="G18" s="147">
        <f t="shared" si="0"/>
        <v>3.1302395209580838</v>
      </c>
      <c r="H18" s="147">
        <v>5.81</v>
      </c>
      <c r="I18" s="147">
        <f t="shared" si="1"/>
        <v>1267.366033456195</v>
      </c>
      <c r="J18" s="147">
        <f t="shared" si="2"/>
        <v>1267</v>
      </c>
      <c r="K18" s="164">
        <f t="shared" si="3"/>
        <v>461</v>
      </c>
      <c r="L18" s="164">
        <f t="shared" si="4"/>
        <v>3220</v>
      </c>
    </row>
    <row r="19" spans="1:12" s="147" customFormat="1" ht="22.5" customHeight="1">
      <c r="A19" s="228" t="s">
        <v>66</v>
      </c>
      <c r="B19" s="153">
        <v>20</v>
      </c>
      <c r="C19" s="153">
        <v>0</v>
      </c>
      <c r="D19" s="155"/>
      <c r="E19" s="147">
        <v>80</v>
      </c>
      <c r="G19" s="147" t="e">
        <f t="shared" si="0"/>
        <v>#DIV/0!</v>
      </c>
      <c r="I19" s="147">
        <f t="shared" si="1"/>
        <v>0</v>
      </c>
      <c r="J19" s="147">
        <f t="shared" si="2"/>
        <v>0</v>
      </c>
      <c r="K19" s="164">
        <f t="shared" si="3"/>
        <v>20</v>
      </c>
      <c r="L19" s="164">
        <f t="shared" si="4"/>
        <v>100</v>
      </c>
    </row>
    <row r="20" spans="1:12" s="147" customFormat="1" ht="22.5" customHeight="1">
      <c r="A20" s="229" t="s">
        <v>67</v>
      </c>
      <c r="B20" s="153">
        <v>200</v>
      </c>
      <c r="C20" s="153">
        <v>0</v>
      </c>
      <c r="D20" s="155"/>
      <c r="F20" s="147">
        <v>70</v>
      </c>
      <c r="G20" s="147">
        <f t="shared" si="0"/>
        <v>0</v>
      </c>
      <c r="I20" s="147">
        <f t="shared" si="1"/>
        <v>0</v>
      </c>
      <c r="J20" s="147">
        <f t="shared" si="2"/>
        <v>0</v>
      </c>
      <c r="K20" s="164">
        <f t="shared" si="3"/>
        <v>130</v>
      </c>
      <c r="L20" s="164">
        <f t="shared" si="4"/>
        <v>200</v>
      </c>
    </row>
    <row r="21" spans="1:12" s="147" customFormat="1" ht="22.5" customHeight="1">
      <c r="A21" s="229" t="s">
        <v>68</v>
      </c>
      <c r="B21" s="153">
        <v>1651</v>
      </c>
      <c r="C21" s="153">
        <v>1876</v>
      </c>
      <c r="D21" s="155">
        <f t="shared" si="5"/>
        <v>13.62810417928528</v>
      </c>
      <c r="E21" s="147">
        <v>2343</v>
      </c>
      <c r="F21" s="147">
        <v>6296</v>
      </c>
      <c r="G21" s="147">
        <f t="shared" si="0"/>
        <v>0.37214104193138503</v>
      </c>
      <c r="H21" s="147">
        <v>4.17</v>
      </c>
      <c r="I21" s="147">
        <f t="shared" si="1"/>
        <v>1800.9023711241239</v>
      </c>
      <c r="J21" s="147">
        <f t="shared" si="2"/>
        <v>1801</v>
      </c>
      <c r="K21" s="164">
        <f t="shared" si="3"/>
        <v>-4645</v>
      </c>
      <c r="L21" s="164">
        <f t="shared" si="4"/>
        <v>3994</v>
      </c>
    </row>
    <row r="22" spans="1:12" s="147" customFormat="1" ht="22.5" customHeight="1">
      <c r="A22" s="229" t="s">
        <v>69</v>
      </c>
      <c r="B22" s="153">
        <v>18730</v>
      </c>
      <c r="C22" s="153">
        <v>23984</v>
      </c>
      <c r="D22" s="155">
        <f t="shared" si="5"/>
        <v>28.05125467164976</v>
      </c>
      <c r="E22" s="147">
        <v>10910</v>
      </c>
      <c r="F22" s="147">
        <v>5772</v>
      </c>
      <c r="G22" s="147">
        <f t="shared" si="0"/>
        <v>1.89015939015939</v>
      </c>
      <c r="H22" s="147">
        <v>27.13</v>
      </c>
      <c r="I22" s="147">
        <f t="shared" si="1"/>
        <v>18865.727994965782</v>
      </c>
      <c r="J22" s="147">
        <f t="shared" si="2"/>
        <v>18866</v>
      </c>
      <c r="K22" s="164">
        <f t="shared" si="3"/>
        <v>12958</v>
      </c>
      <c r="L22" s="164">
        <f t="shared" si="4"/>
        <v>29640</v>
      </c>
    </row>
    <row r="23" spans="1:12" ht="22.5" customHeight="1">
      <c r="A23" s="229" t="s">
        <v>70</v>
      </c>
      <c r="B23" s="230">
        <v>855</v>
      </c>
      <c r="C23" s="230">
        <v>948</v>
      </c>
      <c r="D23" s="155">
        <f t="shared" si="5"/>
        <v>10.87719298245614</v>
      </c>
      <c r="E23" s="149">
        <v>1334</v>
      </c>
      <c r="F23" s="149">
        <v>552</v>
      </c>
      <c r="G23" s="147">
        <f t="shared" si="0"/>
        <v>2.4166666666666665</v>
      </c>
      <c r="H23" s="149">
        <v>14.52</v>
      </c>
      <c r="I23" s="147">
        <f t="shared" si="1"/>
        <v>827.8030038421236</v>
      </c>
      <c r="J23" s="147">
        <f t="shared" si="2"/>
        <v>828</v>
      </c>
      <c r="K23" s="164">
        <f t="shared" si="3"/>
        <v>303</v>
      </c>
      <c r="L23" s="164">
        <f t="shared" si="4"/>
        <v>2189</v>
      </c>
    </row>
    <row r="24" spans="1:12" ht="22.5" customHeight="1">
      <c r="A24" s="229" t="s">
        <v>291</v>
      </c>
      <c r="B24" s="230">
        <v>8000</v>
      </c>
      <c r="C24" s="230">
        <v>8000</v>
      </c>
      <c r="D24" s="155"/>
      <c r="G24" s="147" t="e">
        <f t="shared" si="0"/>
        <v>#DIV/0!</v>
      </c>
      <c r="H24" s="149">
        <v>4.73</v>
      </c>
      <c r="I24" s="147">
        <f t="shared" si="1"/>
        <v>7638.68996467106</v>
      </c>
      <c r="J24" s="147">
        <f t="shared" si="2"/>
        <v>7639</v>
      </c>
      <c r="K24" s="164">
        <f t="shared" si="3"/>
        <v>8000</v>
      </c>
      <c r="L24" s="164">
        <f t="shared" si="4"/>
        <v>8000</v>
      </c>
    </row>
    <row r="25" spans="1:12" ht="22.5" customHeight="1">
      <c r="A25" s="229" t="s">
        <v>71</v>
      </c>
      <c r="B25" s="230">
        <v>3500</v>
      </c>
      <c r="C25" s="230">
        <v>3220</v>
      </c>
      <c r="D25" s="155"/>
      <c r="G25" s="147"/>
      <c r="I25" s="147"/>
      <c r="J25" s="147"/>
      <c r="K25" s="164"/>
      <c r="L25" s="164"/>
    </row>
    <row r="26" spans="1:12" ht="22.5" customHeight="1">
      <c r="A26" s="229" t="s">
        <v>72</v>
      </c>
      <c r="B26" s="230">
        <v>5467</v>
      </c>
      <c r="C26" s="230">
        <v>5222</v>
      </c>
      <c r="D26" s="155">
        <f t="shared" si="5"/>
        <v>-4.481434058898848</v>
      </c>
      <c r="E26" s="149">
        <v>3872</v>
      </c>
      <c r="F26" s="149">
        <v>23492</v>
      </c>
      <c r="G26" s="147">
        <f t="shared" si="0"/>
        <v>0.1648220670866678</v>
      </c>
      <c r="L26" s="164">
        <f t="shared" si="4"/>
        <v>9339</v>
      </c>
    </row>
    <row r="27" spans="1:12" ht="22.5" customHeight="1">
      <c r="A27" s="231" t="s">
        <v>344</v>
      </c>
      <c r="B27" s="232">
        <f>SUM(B4:B26)</f>
        <v>360512</v>
      </c>
      <c r="C27" s="232">
        <f>SUM(C4:C26)</f>
        <v>397691</v>
      </c>
      <c r="D27" s="155">
        <f t="shared" si="5"/>
        <v>10.31283285993254</v>
      </c>
      <c r="E27" s="149">
        <v>366410</v>
      </c>
      <c r="F27" s="149">
        <v>366410</v>
      </c>
      <c r="L27" s="164">
        <f t="shared" si="4"/>
        <v>726922</v>
      </c>
    </row>
    <row r="28" spans="1:4" ht="22.5" customHeight="1">
      <c r="A28" s="233" t="s">
        <v>345</v>
      </c>
      <c r="B28" s="153">
        <v>24055</v>
      </c>
      <c r="C28" s="234">
        <v>23858</v>
      </c>
      <c r="D28" s="155">
        <f t="shared" si="5"/>
        <v>-0.818956557888173</v>
      </c>
    </row>
    <row r="29" spans="1:8" ht="22.5" customHeight="1">
      <c r="A29" s="235" t="s">
        <v>292</v>
      </c>
      <c r="B29" s="234">
        <f>+B27+B28</f>
        <v>384567</v>
      </c>
      <c r="C29" s="234">
        <f>+C27+C28</f>
        <v>421549</v>
      </c>
      <c r="D29" s="155">
        <f t="shared" si="5"/>
        <v>9.616529759443738</v>
      </c>
      <c r="E29" s="236"/>
      <c r="F29" s="236"/>
      <c r="H29" s="236"/>
    </row>
    <row r="30" ht="15.75">
      <c r="C30" s="237"/>
    </row>
    <row r="38" ht="15.75">
      <c r="A38" s="156"/>
    </row>
  </sheetData>
  <sheetProtection/>
  <printOptions horizontalCentered="1"/>
  <pageMargins left="0.79" right="0.79" top="0.98" bottom="0.98" header="0.2" footer="0.79"/>
  <pageSetup firstPageNumber="29" useFirstPageNumber="1" horizontalDpi="600" verticalDpi="600" orientation="portrait" paperSize="9"/>
  <headerFooter scaleWithDoc="0" alignWithMargins="0">
    <oddFooter>&amp;C第 &amp;P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V1339"/>
  <sheetViews>
    <sheetView showZeros="0" zoomScalePageLayoutView="0" workbookViewId="0" topLeftCell="A1">
      <selection activeCell="B17" sqref="B17"/>
    </sheetView>
  </sheetViews>
  <sheetFormatPr defaultColWidth="9.00390625" defaultRowHeight="14.25"/>
  <cols>
    <col min="1" max="1" width="42.50390625" style="192" customWidth="1"/>
    <col min="2" max="2" width="10.50390625" style="192" customWidth="1"/>
    <col min="3" max="3" width="11.50390625" style="192" customWidth="1"/>
    <col min="4" max="4" width="10.875" style="192" customWidth="1"/>
    <col min="5" max="16384" width="9.00390625" style="192" customWidth="1"/>
  </cols>
  <sheetData>
    <row r="1" spans="1:230" ht="33.75" customHeight="1">
      <c r="A1" s="487" t="s">
        <v>346</v>
      </c>
      <c r="B1" s="487"/>
      <c r="C1" s="487"/>
      <c r="D1" s="487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193"/>
      <c r="ES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193"/>
      <c r="FF1" s="193"/>
      <c r="FG1" s="193"/>
      <c r="FH1" s="193"/>
      <c r="FI1" s="193"/>
      <c r="FJ1" s="193"/>
      <c r="FK1" s="193"/>
      <c r="FL1" s="193"/>
      <c r="FM1" s="193"/>
      <c r="FN1" s="193"/>
      <c r="FO1" s="193"/>
      <c r="FP1" s="193"/>
      <c r="FQ1" s="193"/>
      <c r="FR1" s="193"/>
      <c r="FS1" s="193"/>
      <c r="FT1" s="193"/>
      <c r="FU1" s="193"/>
      <c r="FV1" s="193"/>
      <c r="FW1" s="193"/>
      <c r="FX1" s="193"/>
      <c r="FY1" s="193"/>
      <c r="FZ1" s="193"/>
      <c r="GA1" s="193"/>
      <c r="GB1" s="193"/>
      <c r="GC1" s="193"/>
      <c r="GD1" s="193"/>
      <c r="GE1" s="193"/>
      <c r="GF1" s="193"/>
      <c r="GG1" s="193"/>
      <c r="GH1" s="193"/>
      <c r="GI1" s="193"/>
      <c r="GJ1" s="193"/>
      <c r="GK1" s="193"/>
      <c r="GL1" s="193"/>
      <c r="GM1" s="193"/>
      <c r="GN1" s="193"/>
      <c r="GO1" s="193"/>
      <c r="GP1" s="193"/>
      <c r="GQ1" s="193"/>
      <c r="GR1" s="193"/>
      <c r="GS1" s="193"/>
      <c r="GT1" s="193"/>
      <c r="GU1" s="193"/>
      <c r="GV1" s="193"/>
      <c r="GW1" s="193"/>
      <c r="GX1" s="193"/>
      <c r="GY1" s="193"/>
      <c r="GZ1" s="193"/>
      <c r="HA1" s="193"/>
      <c r="HB1" s="193"/>
      <c r="HC1" s="193"/>
      <c r="HD1" s="193"/>
      <c r="HE1" s="193"/>
      <c r="HF1" s="193"/>
      <c r="HG1" s="193"/>
      <c r="HH1" s="193"/>
      <c r="HI1" s="193"/>
      <c r="HJ1" s="193"/>
      <c r="HK1" s="193"/>
      <c r="HL1" s="193"/>
      <c r="HM1" s="193"/>
      <c r="HN1" s="193"/>
      <c r="HO1" s="193"/>
      <c r="HP1" s="193"/>
      <c r="HQ1" s="193"/>
      <c r="HR1" s="193"/>
      <c r="HS1" s="193"/>
      <c r="HT1" s="193"/>
      <c r="HU1" s="193"/>
      <c r="HV1" s="193"/>
    </row>
    <row r="2" spans="2:4" ht="15" customHeight="1">
      <c r="B2" s="194"/>
      <c r="C2" s="194"/>
      <c r="D2" s="194" t="s">
        <v>131</v>
      </c>
    </row>
    <row r="3" spans="1:4" s="191" customFormat="1" ht="12.75">
      <c r="A3" s="489" t="s">
        <v>347</v>
      </c>
      <c r="B3" s="488" t="s">
        <v>348</v>
      </c>
      <c r="C3" s="488"/>
      <c r="D3" s="488"/>
    </row>
    <row r="4" spans="1:4" s="191" customFormat="1" ht="12.75">
      <c r="A4" s="489"/>
      <c r="B4" s="488" t="s">
        <v>349</v>
      </c>
      <c r="C4" s="488" t="s">
        <v>350</v>
      </c>
      <c r="D4" s="488"/>
    </row>
    <row r="5" spans="1:4" s="191" customFormat="1" ht="39" customHeight="1">
      <c r="A5" s="489"/>
      <c r="B5" s="488"/>
      <c r="C5" s="196" t="s">
        <v>351</v>
      </c>
      <c r="D5" s="195" t="s">
        <v>352</v>
      </c>
    </row>
    <row r="6" spans="1:4" s="191" customFormat="1" ht="12.75">
      <c r="A6" s="197" t="s">
        <v>353</v>
      </c>
      <c r="B6" s="198">
        <f>SUM(B7,B19,B28,B40,B52,B63,B74,B86,B95,B105,B120,B129,B140,B152,B162,B175,B182,B189,B198,B204,B211,B219,B226,B232,B238,B244,B250,B256)</f>
        <v>68100</v>
      </c>
      <c r="C6" s="199">
        <f>B6-D6</f>
        <v>67459</v>
      </c>
      <c r="D6" s="199">
        <f>SUM(D7,D19,D28,D40,D52,D63,D74,D86,D95,D105,D120,D129,D140,D152,D162,D175,D182,D189,D198,D204,D211,D219,D226,D232,D238,D244,D250,D256)</f>
        <v>641</v>
      </c>
    </row>
    <row r="7" spans="1:4" s="191" customFormat="1" ht="12.75">
      <c r="A7" s="200" t="s">
        <v>354</v>
      </c>
      <c r="B7" s="201">
        <f>SUM(B8:B18)</f>
        <v>2345</v>
      </c>
      <c r="C7" s="199">
        <f aca="true" t="shared" si="0" ref="C7:C70">B7-D7</f>
        <v>2334</v>
      </c>
      <c r="D7" s="202">
        <f>SUM(D8:D18)</f>
        <v>11</v>
      </c>
    </row>
    <row r="8" spans="1:4" s="191" customFormat="1" ht="12.75">
      <c r="A8" s="203" t="s">
        <v>355</v>
      </c>
      <c r="B8" s="201">
        <f>1093+58</f>
        <v>1151</v>
      </c>
      <c r="C8" s="199">
        <f t="shared" si="0"/>
        <v>1151</v>
      </c>
      <c r="D8" s="202"/>
    </row>
    <row r="9" spans="1:4" s="191" customFormat="1" ht="12.75">
      <c r="A9" s="203" t="s">
        <v>356</v>
      </c>
      <c r="B9" s="201">
        <f>593+45</f>
        <v>638</v>
      </c>
      <c r="C9" s="199">
        <f t="shared" si="0"/>
        <v>627</v>
      </c>
      <c r="D9" s="202">
        <v>11</v>
      </c>
    </row>
    <row r="10" spans="1:4" s="191" customFormat="1" ht="12.75">
      <c r="A10" s="204" t="s">
        <v>357</v>
      </c>
      <c r="B10" s="201"/>
      <c r="C10" s="199">
        <f t="shared" si="0"/>
        <v>0</v>
      </c>
      <c r="D10" s="202"/>
    </row>
    <row r="11" spans="1:4" s="191" customFormat="1" ht="12.75">
      <c r="A11" s="204" t="s">
        <v>358</v>
      </c>
      <c r="B11" s="201">
        <v>239</v>
      </c>
      <c r="C11" s="199">
        <f t="shared" si="0"/>
        <v>239</v>
      </c>
      <c r="D11" s="202"/>
    </row>
    <row r="12" spans="1:4" s="191" customFormat="1" ht="12.75">
      <c r="A12" s="204" t="s">
        <v>359</v>
      </c>
      <c r="B12" s="201"/>
      <c r="C12" s="199">
        <f t="shared" si="0"/>
        <v>0</v>
      </c>
      <c r="D12" s="202"/>
    </row>
    <row r="13" spans="1:4" s="191" customFormat="1" ht="12.75">
      <c r="A13" s="205" t="s">
        <v>360</v>
      </c>
      <c r="B13" s="201">
        <v>198</v>
      </c>
      <c r="C13" s="199">
        <f t="shared" si="0"/>
        <v>198</v>
      </c>
      <c r="D13" s="202"/>
    </row>
    <row r="14" spans="1:4" s="191" customFormat="1" ht="12.75">
      <c r="A14" s="205" t="s">
        <v>361</v>
      </c>
      <c r="B14" s="201"/>
      <c r="C14" s="199">
        <f t="shared" si="0"/>
        <v>0</v>
      </c>
      <c r="D14" s="202"/>
    </row>
    <row r="15" spans="1:4" s="191" customFormat="1" ht="12.75">
      <c r="A15" s="205" t="s">
        <v>362</v>
      </c>
      <c r="B15" s="201">
        <v>100</v>
      </c>
      <c r="C15" s="199">
        <f t="shared" si="0"/>
        <v>100</v>
      </c>
      <c r="D15" s="202"/>
    </row>
    <row r="16" spans="1:4" s="191" customFormat="1" ht="12.75">
      <c r="A16" s="205" t="s">
        <v>363</v>
      </c>
      <c r="B16" s="201">
        <v>4</v>
      </c>
      <c r="C16" s="199">
        <f t="shared" si="0"/>
        <v>4</v>
      </c>
      <c r="D16" s="202"/>
    </row>
    <row r="17" spans="1:4" s="191" customFormat="1" ht="12.75">
      <c r="A17" s="205" t="s">
        <v>364</v>
      </c>
      <c r="B17" s="201"/>
      <c r="C17" s="199">
        <f t="shared" si="0"/>
        <v>0</v>
      </c>
      <c r="D17" s="202"/>
    </row>
    <row r="18" spans="1:4" s="191" customFormat="1" ht="12.75">
      <c r="A18" s="205" t="s">
        <v>365</v>
      </c>
      <c r="B18" s="201">
        <v>15</v>
      </c>
      <c r="C18" s="199">
        <f t="shared" si="0"/>
        <v>15</v>
      </c>
      <c r="D18" s="202"/>
    </row>
    <row r="19" spans="1:4" s="191" customFormat="1" ht="12.75">
      <c r="A19" s="200" t="s">
        <v>366</v>
      </c>
      <c r="B19" s="201">
        <f>SUM(B20:B27)</f>
        <v>1663</v>
      </c>
      <c r="C19" s="199">
        <f t="shared" si="0"/>
        <v>1663</v>
      </c>
      <c r="D19" s="202">
        <f>SUM(D20:D27)</f>
        <v>0</v>
      </c>
    </row>
    <row r="20" spans="1:4" s="191" customFormat="1" ht="12.75">
      <c r="A20" s="203" t="s">
        <v>355</v>
      </c>
      <c r="B20" s="201">
        <f>693+56</f>
        <v>749</v>
      </c>
      <c r="C20" s="199">
        <f t="shared" si="0"/>
        <v>749</v>
      </c>
      <c r="D20" s="202"/>
    </row>
    <row r="21" spans="1:4" s="191" customFormat="1" ht="12.75">
      <c r="A21" s="203" t="s">
        <v>356</v>
      </c>
      <c r="B21" s="201">
        <v>416</v>
      </c>
      <c r="C21" s="199">
        <f t="shared" si="0"/>
        <v>416</v>
      </c>
      <c r="D21" s="202"/>
    </row>
    <row r="22" spans="1:4" s="191" customFormat="1" ht="12.75">
      <c r="A22" s="204" t="s">
        <v>357</v>
      </c>
      <c r="B22" s="201"/>
      <c r="C22" s="199">
        <f t="shared" si="0"/>
        <v>0</v>
      </c>
      <c r="D22" s="202"/>
    </row>
    <row r="23" spans="1:4" s="191" customFormat="1" ht="12.75">
      <c r="A23" s="204" t="s">
        <v>367</v>
      </c>
      <c r="B23" s="201">
        <v>130</v>
      </c>
      <c r="C23" s="199">
        <f t="shared" si="0"/>
        <v>130</v>
      </c>
      <c r="D23" s="202"/>
    </row>
    <row r="24" spans="1:4" s="191" customFormat="1" ht="12.75">
      <c r="A24" s="204" t="s">
        <v>368</v>
      </c>
      <c r="B24" s="201">
        <v>99</v>
      </c>
      <c r="C24" s="199">
        <f t="shared" si="0"/>
        <v>99</v>
      </c>
      <c r="D24" s="202"/>
    </row>
    <row r="25" spans="1:4" s="191" customFormat="1" ht="12.75">
      <c r="A25" s="204" t="s">
        <v>369</v>
      </c>
      <c r="B25" s="201">
        <v>269</v>
      </c>
      <c r="C25" s="199">
        <f t="shared" si="0"/>
        <v>269</v>
      </c>
      <c r="D25" s="202"/>
    </row>
    <row r="26" spans="1:4" s="191" customFormat="1" ht="12.75">
      <c r="A26" s="204" t="s">
        <v>364</v>
      </c>
      <c r="B26" s="201"/>
      <c r="C26" s="199">
        <f t="shared" si="0"/>
        <v>0</v>
      </c>
      <c r="D26" s="202"/>
    </row>
    <row r="27" spans="1:4" s="191" customFormat="1" ht="12.75">
      <c r="A27" s="204" t="s">
        <v>370</v>
      </c>
      <c r="B27" s="201"/>
      <c r="C27" s="199">
        <f t="shared" si="0"/>
        <v>0</v>
      </c>
      <c r="D27" s="202"/>
    </row>
    <row r="28" spans="1:4" s="191" customFormat="1" ht="12.75">
      <c r="A28" s="200" t="s">
        <v>371</v>
      </c>
      <c r="B28" s="201">
        <f>SUM(B29:B39)</f>
        <v>23410</v>
      </c>
      <c r="C28" s="199">
        <f t="shared" si="0"/>
        <v>23381</v>
      </c>
      <c r="D28" s="202">
        <f>SUM(D29:D39)</f>
        <v>29</v>
      </c>
    </row>
    <row r="29" spans="1:4" s="191" customFormat="1" ht="12.75">
      <c r="A29" s="203" t="s">
        <v>355</v>
      </c>
      <c r="B29" s="201">
        <f>26763-9949+1500-1000-500</f>
        <v>16814</v>
      </c>
      <c r="C29" s="199">
        <f t="shared" si="0"/>
        <v>16805</v>
      </c>
      <c r="D29" s="202">
        <v>9</v>
      </c>
    </row>
    <row r="30" spans="1:4" s="191" customFormat="1" ht="12.75">
      <c r="A30" s="203" t="s">
        <v>356</v>
      </c>
      <c r="B30" s="201">
        <f>3195-300-350-300</f>
        <v>2245</v>
      </c>
      <c r="C30" s="199">
        <f t="shared" si="0"/>
        <v>2243</v>
      </c>
      <c r="D30" s="202">
        <v>2</v>
      </c>
    </row>
    <row r="31" spans="1:4" s="191" customFormat="1" ht="12.75">
      <c r="A31" s="204" t="s">
        <v>357</v>
      </c>
      <c r="B31" s="201">
        <v>390</v>
      </c>
      <c r="C31" s="199">
        <f t="shared" si="0"/>
        <v>390</v>
      </c>
      <c r="D31" s="202"/>
    </row>
    <row r="32" spans="1:4" s="191" customFormat="1" ht="12.75">
      <c r="A32" s="204" t="s">
        <v>372</v>
      </c>
      <c r="B32" s="201"/>
      <c r="C32" s="199">
        <f t="shared" si="0"/>
        <v>0</v>
      </c>
      <c r="D32" s="202"/>
    </row>
    <row r="33" spans="1:4" s="191" customFormat="1" ht="12.75">
      <c r="A33" s="204" t="s">
        <v>373</v>
      </c>
      <c r="B33" s="201"/>
      <c r="C33" s="199">
        <f t="shared" si="0"/>
        <v>0</v>
      </c>
      <c r="D33" s="202"/>
    </row>
    <row r="34" spans="1:4" s="191" customFormat="1" ht="12.75">
      <c r="A34" s="203" t="s">
        <v>374</v>
      </c>
      <c r="B34" s="201">
        <v>50</v>
      </c>
      <c r="C34" s="199">
        <f t="shared" si="0"/>
        <v>50</v>
      </c>
      <c r="D34" s="202"/>
    </row>
    <row r="35" spans="1:4" s="191" customFormat="1" ht="12.75">
      <c r="A35" s="203" t="s">
        <v>375</v>
      </c>
      <c r="B35" s="201">
        <v>269</v>
      </c>
      <c r="C35" s="199">
        <f t="shared" si="0"/>
        <v>269</v>
      </c>
      <c r="D35" s="202"/>
    </row>
    <row r="36" spans="1:4" s="191" customFormat="1" ht="12.75">
      <c r="A36" s="203" t="s">
        <v>376</v>
      </c>
      <c r="B36" s="201">
        <f>104+350</f>
        <v>454</v>
      </c>
      <c r="C36" s="199">
        <f t="shared" si="0"/>
        <v>454</v>
      </c>
      <c r="D36" s="202"/>
    </row>
    <row r="37" spans="1:4" s="191" customFormat="1" ht="12.75">
      <c r="A37" s="204" t="s">
        <v>377</v>
      </c>
      <c r="B37" s="201"/>
      <c r="C37" s="199">
        <f t="shared" si="0"/>
        <v>0</v>
      </c>
      <c r="D37" s="202"/>
    </row>
    <row r="38" spans="1:4" s="191" customFormat="1" ht="12.75">
      <c r="A38" s="204" t="s">
        <v>364</v>
      </c>
      <c r="B38" s="201">
        <v>131</v>
      </c>
      <c r="C38" s="199">
        <f t="shared" si="0"/>
        <v>129</v>
      </c>
      <c r="D38" s="202">
        <v>2</v>
      </c>
    </row>
    <row r="39" spans="1:4" s="191" customFormat="1" ht="12.75">
      <c r="A39" s="204" t="s">
        <v>378</v>
      </c>
      <c r="B39" s="201">
        <f>3857-500-300</f>
        <v>3057</v>
      </c>
      <c r="C39" s="199">
        <f t="shared" si="0"/>
        <v>3041</v>
      </c>
      <c r="D39" s="202">
        <v>16</v>
      </c>
    </row>
    <row r="40" spans="1:4" s="191" customFormat="1" ht="12.75">
      <c r="A40" s="200" t="s">
        <v>379</v>
      </c>
      <c r="B40" s="201">
        <f>SUM(B41:B51)</f>
        <v>1895</v>
      </c>
      <c r="C40" s="199">
        <f t="shared" si="0"/>
        <v>1872</v>
      </c>
      <c r="D40" s="202">
        <f>SUM(D41:D51)</f>
        <v>23</v>
      </c>
    </row>
    <row r="41" spans="1:4" s="191" customFormat="1" ht="12.75">
      <c r="A41" s="203" t="s">
        <v>355</v>
      </c>
      <c r="B41" s="201">
        <f>2122-760-110-300</f>
        <v>952</v>
      </c>
      <c r="C41" s="199">
        <f t="shared" si="0"/>
        <v>952</v>
      </c>
      <c r="D41" s="202"/>
    </row>
    <row r="42" spans="1:4" s="191" customFormat="1" ht="12.75">
      <c r="A42" s="203" t="s">
        <v>356</v>
      </c>
      <c r="B42" s="201">
        <v>80</v>
      </c>
      <c r="C42" s="199">
        <f t="shared" si="0"/>
        <v>80</v>
      </c>
      <c r="D42" s="202"/>
    </row>
    <row r="43" spans="1:4" s="191" customFormat="1" ht="12.75">
      <c r="A43" s="204" t="s">
        <v>357</v>
      </c>
      <c r="B43" s="201"/>
      <c r="C43" s="199">
        <f t="shared" si="0"/>
        <v>0</v>
      </c>
      <c r="D43" s="202"/>
    </row>
    <row r="44" spans="1:4" s="191" customFormat="1" ht="12.75">
      <c r="A44" s="204" t="s">
        <v>380</v>
      </c>
      <c r="B44" s="201"/>
      <c r="C44" s="199">
        <f t="shared" si="0"/>
        <v>0</v>
      </c>
      <c r="D44" s="202"/>
    </row>
    <row r="45" spans="1:4" s="191" customFormat="1" ht="12.75">
      <c r="A45" s="204" t="s">
        <v>381</v>
      </c>
      <c r="B45" s="201"/>
      <c r="C45" s="199">
        <f t="shared" si="0"/>
        <v>0</v>
      </c>
      <c r="D45" s="202"/>
    </row>
    <row r="46" spans="1:4" s="191" customFormat="1" ht="12.75">
      <c r="A46" s="203" t="s">
        <v>382</v>
      </c>
      <c r="B46" s="201"/>
      <c r="C46" s="199">
        <f t="shared" si="0"/>
        <v>0</v>
      </c>
      <c r="D46" s="202"/>
    </row>
    <row r="47" spans="1:4" s="191" customFormat="1" ht="12.75">
      <c r="A47" s="203" t="s">
        <v>383</v>
      </c>
      <c r="B47" s="201"/>
      <c r="C47" s="199">
        <f t="shared" si="0"/>
        <v>0</v>
      </c>
      <c r="D47" s="202"/>
    </row>
    <row r="48" spans="1:4" s="191" customFormat="1" ht="12.75">
      <c r="A48" s="203" t="s">
        <v>384</v>
      </c>
      <c r="B48" s="201">
        <f>2+760</f>
        <v>762</v>
      </c>
      <c r="C48" s="199">
        <f t="shared" si="0"/>
        <v>760</v>
      </c>
      <c r="D48" s="202">
        <v>2</v>
      </c>
    </row>
    <row r="49" spans="1:4" s="191" customFormat="1" ht="12.75">
      <c r="A49" s="203" t="s">
        <v>385</v>
      </c>
      <c r="B49" s="201"/>
      <c r="C49" s="199">
        <f t="shared" si="0"/>
        <v>0</v>
      </c>
      <c r="D49" s="202"/>
    </row>
    <row r="50" spans="1:4" s="191" customFormat="1" ht="12.75">
      <c r="A50" s="203" t="s">
        <v>364</v>
      </c>
      <c r="B50" s="201"/>
      <c r="C50" s="199">
        <f t="shared" si="0"/>
        <v>0</v>
      </c>
      <c r="D50" s="202"/>
    </row>
    <row r="51" spans="1:4" s="191" customFormat="1" ht="12.75">
      <c r="A51" s="204" t="s">
        <v>386</v>
      </c>
      <c r="B51" s="201">
        <v>101</v>
      </c>
      <c r="C51" s="199">
        <f t="shared" si="0"/>
        <v>80</v>
      </c>
      <c r="D51" s="202">
        <v>21</v>
      </c>
    </row>
    <row r="52" spans="1:4" s="191" customFormat="1" ht="12.75">
      <c r="A52" s="206" t="s">
        <v>387</v>
      </c>
      <c r="B52" s="201">
        <f>SUM(B53:B62)</f>
        <v>938</v>
      </c>
      <c r="C52" s="199">
        <f t="shared" si="0"/>
        <v>932</v>
      </c>
      <c r="D52" s="202">
        <f>SUM(D53:D62)</f>
        <v>6</v>
      </c>
    </row>
    <row r="53" spans="1:4" s="191" customFormat="1" ht="12.75">
      <c r="A53" s="204" t="s">
        <v>355</v>
      </c>
      <c r="B53" s="201">
        <f>583-50</f>
        <v>533</v>
      </c>
      <c r="C53" s="199">
        <f t="shared" si="0"/>
        <v>533</v>
      </c>
      <c r="D53" s="202"/>
    </row>
    <row r="54" spans="1:4" s="191" customFormat="1" ht="12.75">
      <c r="A54" s="205" t="s">
        <v>356</v>
      </c>
      <c r="B54" s="201">
        <v>267</v>
      </c>
      <c r="C54" s="199">
        <f t="shared" si="0"/>
        <v>261</v>
      </c>
      <c r="D54" s="202">
        <v>6</v>
      </c>
    </row>
    <row r="55" spans="1:4" s="191" customFormat="1" ht="12.75">
      <c r="A55" s="203" t="s">
        <v>357</v>
      </c>
      <c r="B55" s="201"/>
      <c r="C55" s="199">
        <f t="shared" si="0"/>
        <v>0</v>
      </c>
      <c r="D55" s="202"/>
    </row>
    <row r="56" spans="1:4" s="191" customFormat="1" ht="12.75">
      <c r="A56" s="203" t="s">
        <v>388</v>
      </c>
      <c r="B56" s="201"/>
      <c r="C56" s="199">
        <f t="shared" si="0"/>
        <v>0</v>
      </c>
      <c r="D56" s="202"/>
    </row>
    <row r="57" spans="1:4" s="191" customFormat="1" ht="12.75">
      <c r="A57" s="203" t="s">
        <v>389</v>
      </c>
      <c r="B57" s="201"/>
      <c r="C57" s="199">
        <f t="shared" si="0"/>
        <v>0</v>
      </c>
      <c r="D57" s="202"/>
    </row>
    <row r="58" spans="1:4" s="191" customFormat="1" ht="12.75">
      <c r="A58" s="204" t="s">
        <v>390</v>
      </c>
      <c r="B58" s="201"/>
      <c r="C58" s="199">
        <f t="shared" si="0"/>
        <v>0</v>
      </c>
      <c r="D58" s="202"/>
    </row>
    <row r="59" spans="1:4" s="191" customFormat="1" ht="12.75">
      <c r="A59" s="204" t="s">
        <v>391</v>
      </c>
      <c r="B59" s="201">
        <v>118</v>
      </c>
      <c r="C59" s="199">
        <f t="shared" si="0"/>
        <v>118</v>
      </c>
      <c r="D59" s="202"/>
    </row>
    <row r="60" spans="1:4" s="191" customFormat="1" ht="12.75">
      <c r="A60" s="204" t="s">
        <v>392</v>
      </c>
      <c r="B60" s="201">
        <v>20</v>
      </c>
      <c r="C60" s="199">
        <f t="shared" si="0"/>
        <v>20</v>
      </c>
      <c r="D60" s="202"/>
    </row>
    <row r="61" spans="1:4" s="191" customFormat="1" ht="12.75">
      <c r="A61" s="203" t="s">
        <v>364</v>
      </c>
      <c r="B61" s="201"/>
      <c r="C61" s="199">
        <f t="shared" si="0"/>
        <v>0</v>
      </c>
      <c r="D61" s="202"/>
    </row>
    <row r="62" spans="1:4" s="191" customFormat="1" ht="12.75">
      <c r="A62" s="203" t="s">
        <v>393</v>
      </c>
      <c r="B62" s="201"/>
      <c r="C62" s="199">
        <f t="shared" si="0"/>
        <v>0</v>
      </c>
      <c r="D62" s="202"/>
    </row>
    <row r="63" spans="1:4" s="191" customFormat="1" ht="12.75">
      <c r="A63" s="200" t="s">
        <v>394</v>
      </c>
      <c r="B63" s="201">
        <f>SUM(B64:B73)</f>
        <v>4391</v>
      </c>
      <c r="C63" s="199">
        <f t="shared" si="0"/>
        <v>4384</v>
      </c>
      <c r="D63" s="202">
        <f>SUM(D64:D73)</f>
        <v>7</v>
      </c>
    </row>
    <row r="64" spans="1:4" s="191" customFormat="1" ht="12.75">
      <c r="A64" s="204" t="s">
        <v>355</v>
      </c>
      <c r="B64" s="201">
        <f>2019-120-300-100-100</f>
        <v>1399</v>
      </c>
      <c r="C64" s="199">
        <f t="shared" si="0"/>
        <v>1399</v>
      </c>
      <c r="D64" s="202"/>
    </row>
    <row r="65" spans="1:4" s="191" customFormat="1" ht="12.75">
      <c r="A65" s="207" t="s">
        <v>356</v>
      </c>
      <c r="B65" s="201">
        <f>464+50</f>
        <v>514</v>
      </c>
      <c r="C65" s="199">
        <f t="shared" si="0"/>
        <v>514</v>
      </c>
      <c r="D65" s="202"/>
    </row>
    <row r="66" spans="1:4" s="191" customFormat="1" ht="12.75">
      <c r="A66" s="207" t="s">
        <v>357</v>
      </c>
      <c r="B66" s="201"/>
      <c r="C66" s="199">
        <f t="shared" si="0"/>
        <v>0</v>
      </c>
      <c r="D66" s="202"/>
    </row>
    <row r="67" spans="1:4" s="191" customFormat="1" ht="12.75">
      <c r="A67" s="207" t="s">
        <v>395</v>
      </c>
      <c r="B67" s="201"/>
      <c r="C67" s="199">
        <f t="shared" si="0"/>
        <v>0</v>
      </c>
      <c r="D67" s="202"/>
    </row>
    <row r="68" spans="1:4" s="191" customFormat="1" ht="12.75">
      <c r="A68" s="207" t="s">
        <v>396</v>
      </c>
      <c r="B68" s="201">
        <v>120</v>
      </c>
      <c r="C68" s="199">
        <f t="shared" si="0"/>
        <v>120</v>
      </c>
      <c r="D68" s="202"/>
    </row>
    <row r="69" spans="1:4" s="191" customFormat="1" ht="12.75">
      <c r="A69" s="207" t="s">
        <v>397</v>
      </c>
      <c r="B69" s="201">
        <v>20</v>
      </c>
      <c r="C69" s="199">
        <f t="shared" si="0"/>
        <v>20</v>
      </c>
      <c r="D69" s="202"/>
    </row>
    <row r="70" spans="1:4" s="191" customFormat="1" ht="12.75">
      <c r="A70" s="203" t="s">
        <v>398</v>
      </c>
      <c r="B70" s="201">
        <f>75+100</f>
        <v>175</v>
      </c>
      <c r="C70" s="199">
        <f t="shared" si="0"/>
        <v>175</v>
      </c>
      <c r="D70" s="202"/>
    </row>
    <row r="71" spans="1:4" s="191" customFormat="1" ht="12.75">
      <c r="A71" s="204" t="s">
        <v>399</v>
      </c>
      <c r="B71" s="201">
        <f>680+300</f>
        <v>980</v>
      </c>
      <c r="C71" s="199">
        <f aca="true" t="shared" si="1" ref="C71:C134">B71-D71</f>
        <v>980</v>
      </c>
      <c r="D71" s="202"/>
    </row>
    <row r="72" spans="1:4" s="191" customFormat="1" ht="12.75">
      <c r="A72" s="204" t="s">
        <v>364</v>
      </c>
      <c r="B72" s="201"/>
      <c r="C72" s="199">
        <f t="shared" si="1"/>
        <v>0</v>
      </c>
      <c r="D72" s="202"/>
    </row>
    <row r="73" spans="1:4" s="191" customFormat="1" ht="12.75">
      <c r="A73" s="204" t="s">
        <v>400</v>
      </c>
      <c r="B73" s="201">
        <f>4483-1000-1000-1300</f>
        <v>1183</v>
      </c>
      <c r="C73" s="199">
        <f t="shared" si="1"/>
        <v>1176</v>
      </c>
      <c r="D73" s="202">
        <v>7</v>
      </c>
    </row>
    <row r="74" spans="1:4" s="191" customFormat="1" ht="12.75">
      <c r="A74" s="200" t="s">
        <v>401</v>
      </c>
      <c r="B74" s="201">
        <f>SUM(B75:B85)</f>
        <v>0</v>
      </c>
      <c r="C74" s="199">
        <f t="shared" si="1"/>
        <v>0</v>
      </c>
      <c r="D74" s="202">
        <f>SUM(D75:D85)</f>
        <v>0</v>
      </c>
    </row>
    <row r="75" spans="1:4" s="191" customFormat="1" ht="12.75">
      <c r="A75" s="203" t="s">
        <v>355</v>
      </c>
      <c r="B75" s="201"/>
      <c r="C75" s="199">
        <f t="shared" si="1"/>
        <v>0</v>
      </c>
      <c r="D75" s="202"/>
    </row>
    <row r="76" spans="1:4" s="191" customFormat="1" ht="12.75">
      <c r="A76" s="203" t="s">
        <v>356</v>
      </c>
      <c r="B76" s="201"/>
      <c r="C76" s="199">
        <f t="shared" si="1"/>
        <v>0</v>
      </c>
      <c r="D76" s="202"/>
    </row>
    <row r="77" spans="1:4" s="191" customFormat="1" ht="12.75">
      <c r="A77" s="204" t="s">
        <v>357</v>
      </c>
      <c r="B77" s="201"/>
      <c r="C77" s="199">
        <f t="shared" si="1"/>
        <v>0</v>
      </c>
      <c r="D77" s="202"/>
    </row>
    <row r="78" spans="1:4" s="191" customFormat="1" ht="12.75">
      <c r="A78" s="204" t="s">
        <v>402</v>
      </c>
      <c r="B78" s="201"/>
      <c r="C78" s="199">
        <f t="shared" si="1"/>
        <v>0</v>
      </c>
      <c r="D78" s="202"/>
    </row>
    <row r="79" spans="1:4" s="191" customFormat="1" ht="12.75">
      <c r="A79" s="204" t="s">
        <v>403</v>
      </c>
      <c r="B79" s="201"/>
      <c r="C79" s="199">
        <f t="shared" si="1"/>
        <v>0</v>
      </c>
      <c r="D79" s="202"/>
    </row>
    <row r="80" spans="1:4" s="191" customFormat="1" ht="12.75">
      <c r="A80" s="205" t="s">
        <v>404</v>
      </c>
      <c r="B80" s="201"/>
      <c r="C80" s="199">
        <f t="shared" si="1"/>
        <v>0</v>
      </c>
      <c r="D80" s="202"/>
    </row>
    <row r="81" spans="1:4" s="191" customFormat="1" ht="12.75">
      <c r="A81" s="203" t="s">
        <v>405</v>
      </c>
      <c r="B81" s="201"/>
      <c r="C81" s="199">
        <f t="shared" si="1"/>
        <v>0</v>
      </c>
      <c r="D81" s="202"/>
    </row>
    <row r="82" spans="1:4" s="191" customFormat="1" ht="12.75">
      <c r="A82" s="203" t="s">
        <v>406</v>
      </c>
      <c r="B82" s="201"/>
      <c r="C82" s="199">
        <f t="shared" si="1"/>
        <v>0</v>
      </c>
      <c r="D82" s="202"/>
    </row>
    <row r="83" spans="1:4" s="191" customFormat="1" ht="12.75">
      <c r="A83" s="203" t="s">
        <v>398</v>
      </c>
      <c r="B83" s="201"/>
      <c r="C83" s="199">
        <f t="shared" si="1"/>
        <v>0</v>
      </c>
      <c r="D83" s="202"/>
    </row>
    <row r="84" spans="1:4" s="191" customFormat="1" ht="12.75">
      <c r="A84" s="204" t="s">
        <v>364</v>
      </c>
      <c r="B84" s="201"/>
      <c r="C84" s="199">
        <f t="shared" si="1"/>
        <v>0</v>
      </c>
      <c r="D84" s="202"/>
    </row>
    <row r="85" spans="1:4" s="191" customFormat="1" ht="12.75">
      <c r="A85" s="204" t="s">
        <v>407</v>
      </c>
      <c r="B85" s="201"/>
      <c r="C85" s="199">
        <f t="shared" si="1"/>
        <v>0</v>
      </c>
      <c r="D85" s="202"/>
    </row>
    <row r="86" spans="1:4" s="191" customFormat="1" ht="12.75">
      <c r="A86" s="206" t="s">
        <v>408</v>
      </c>
      <c r="B86" s="201">
        <f>SUM(B87:B94)</f>
        <v>1053</v>
      </c>
      <c r="C86" s="199">
        <f t="shared" si="1"/>
        <v>1049</v>
      </c>
      <c r="D86" s="202">
        <f>SUM(D87:D94)</f>
        <v>4</v>
      </c>
    </row>
    <row r="87" spans="1:4" s="191" customFormat="1" ht="12.75">
      <c r="A87" s="203" t="s">
        <v>355</v>
      </c>
      <c r="B87" s="201">
        <f>24+700</f>
        <v>724</v>
      </c>
      <c r="C87" s="199">
        <f t="shared" si="1"/>
        <v>724</v>
      </c>
      <c r="D87" s="202"/>
    </row>
    <row r="88" spans="1:4" s="191" customFormat="1" ht="12.75">
      <c r="A88" s="203" t="s">
        <v>356</v>
      </c>
      <c r="B88" s="201">
        <v>56</v>
      </c>
      <c r="C88" s="199">
        <f t="shared" si="1"/>
        <v>52</v>
      </c>
      <c r="D88" s="202">
        <v>4</v>
      </c>
    </row>
    <row r="89" spans="1:4" s="191" customFormat="1" ht="12.75">
      <c r="A89" s="203" t="s">
        <v>357</v>
      </c>
      <c r="B89" s="201"/>
      <c r="C89" s="199">
        <f t="shared" si="1"/>
        <v>0</v>
      </c>
      <c r="D89" s="202"/>
    </row>
    <row r="90" spans="1:4" s="191" customFormat="1" ht="12.75">
      <c r="A90" s="204" t="s">
        <v>409</v>
      </c>
      <c r="B90" s="201">
        <f>373-100</f>
        <v>273</v>
      </c>
      <c r="C90" s="199">
        <f t="shared" si="1"/>
        <v>273</v>
      </c>
      <c r="D90" s="202"/>
    </row>
    <row r="91" spans="1:4" s="191" customFormat="1" ht="12.75">
      <c r="A91" s="204" t="s">
        <v>410</v>
      </c>
      <c r="B91" s="201"/>
      <c r="C91" s="199">
        <f t="shared" si="1"/>
        <v>0</v>
      </c>
      <c r="D91" s="202"/>
    </row>
    <row r="92" spans="1:4" s="191" customFormat="1" ht="12.75">
      <c r="A92" s="204" t="s">
        <v>398</v>
      </c>
      <c r="B92" s="201"/>
      <c r="C92" s="199">
        <f t="shared" si="1"/>
        <v>0</v>
      </c>
      <c r="D92" s="202"/>
    </row>
    <row r="93" spans="1:4" s="191" customFormat="1" ht="12.75">
      <c r="A93" s="204" t="s">
        <v>364</v>
      </c>
      <c r="B93" s="201"/>
      <c r="C93" s="199">
        <f t="shared" si="1"/>
        <v>0</v>
      </c>
      <c r="D93" s="202"/>
    </row>
    <row r="94" spans="1:4" s="191" customFormat="1" ht="12.75">
      <c r="A94" s="205" t="s">
        <v>411</v>
      </c>
      <c r="B94" s="201"/>
      <c r="C94" s="199">
        <f t="shared" si="1"/>
        <v>0</v>
      </c>
      <c r="D94" s="202"/>
    </row>
    <row r="95" spans="1:4" s="191" customFormat="1" ht="12.75">
      <c r="A95" s="200" t="s">
        <v>412</v>
      </c>
      <c r="B95" s="201">
        <f>SUM(B96:B104)</f>
        <v>0</v>
      </c>
      <c r="C95" s="199">
        <f t="shared" si="1"/>
        <v>0</v>
      </c>
      <c r="D95" s="202">
        <f>SUM(D96:D104)</f>
        <v>0</v>
      </c>
    </row>
    <row r="96" spans="1:4" s="191" customFormat="1" ht="12.75">
      <c r="A96" s="203" t="s">
        <v>355</v>
      </c>
      <c r="B96" s="201"/>
      <c r="C96" s="199">
        <f t="shared" si="1"/>
        <v>0</v>
      </c>
      <c r="D96" s="202"/>
    </row>
    <row r="97" spans="1:4" s="191" customFormat="1" ht="12.75">
      <c r="A97" s="204" t="s">
        <v>356</v>
      </c>
      <c r="B97" s="201"/>
      <c r="C97" s="199">
        <f t="shared" si="1"/>
        <v>0</v>
      </c>
      <c r="D97" s="202"/>
    </row>
    <row r="98" spans="1:4" s="191" customFormat="1" ht="12.75">
      <c r="A98" s="204" t="s">
        <v>357</v>
      </c>
      <c r="B98" s="201"/>
      <c r="C98" s="199">
        <f t="shared" si="1"/>
        <v>0</v>
      </c>
      <c r="D98" s="202"/>
    </row>
    <row r="99" spans="1:4" s="191" customFormat="1" ht="12.75">
      <c r="A99" s="204" t="s">
        <v>413</v>
      </c>
      <c r="B99" s="201"/>
      <c r="C99" s="199">
        <f t="shared" si="1"/>
        <v>0</v>
      </c>
      <c r="D99" s="202"/>
    </row>
    <row r="100" spans="1:4" s="191" customFormat="1" ht="12.75">
      <c r="A100" s="203" t="s">
        <v>414</v>
      </c>
      <c r="B100" s="201"/>
      <c r="C100" s="199">
        <f t="shared" si="1"/>
        <v>0</v>
      </c>
      <c r="D100" s="202"/>
    </row>
    <row r="101" spans="1:4" s="191" customFormat="1" ht="12.75">
      <c r="A101" s="203" t="s">
        <v>415</v>
      </c>
      <c r="B101" s="201"/>
      <c r="C101" s="199">
        <f t="shared" si="1"/>
        <v>0</v>
      </c>
      <c r="D101" s="202"/>
    </row>
    <row r="102" spans="1:4" s="191" customFormat="1" ht="12.75">
      <c r="A102" s="203" t="s">
        <v>398</v>
      </c>
      <c r="B102" s="201"/>
      <c r="C102" s="199">
        <f t="shared" si="1"/>
        <v>0</v>
      </c>
      <c r="D102" s="202"/>
    </row>
    <row r="103" spans="1:4" s="191" customFormat="1" ht="12.75">
      <c r="A103" s="204" t="s">
        <v>364</v>
      </c>
      <c r="B103" s="201"/>
      <c r="C103" s="199">
        <f t="shared" si="1"/>
        <v>0</v>
      </c>
      <c r="D103" s="202"/>
    </row>
    <row r="104" spans="1:4" s="191" customFormat="1" ht="12.75">
      <c r="A104" s="204" t="s">
        <v>416</v>
      </c>
      <c r="B104" s="201"/>
      <c r="C104" s="199">
        <f t="shared" si="1"/>
        <v>0</v>
      </c>
      <c r="D104" s="202"/>
    </row>
    <row r="105" spans="1:4" s="191" customFormat="1" ht="12.75">
      <c r="A105" s="206" t="s">
        <v>417</v>
      </c>
      <c r="B105" s="201">
        <f>SUM(B106:B119)</f>
        <v>263</v>
      </c>
      <c r="C105" s="199">
        <f t="shared" si="1"/>
        <v>259</v>
      </c>
      <c r="D105" s="202">
        <f>SUM(D106:D119)</f>
        <v>4</v>
      </c>
    </row>
    <row r="106" spans="1:4" s="191" customFormat="1" ht="12.75">
      <c r="A106" s="204" t="s">
        <v>355</v>
      </c>
      <c r="B106" s="201">
        <v>45</v>
      </c>
      <c r="C106" s="199">
        <f t="shared" si="1"/>
        <v>45</v>
      </c>
      <c r="D106" s="202"/>
    </row>
    <row r="107" spans="1:4" s="191" customFormat="1" ht="12.75">
      <c r="A107" s="203" t="s">
        <v>356</v>
      </c>
      <c r="B107" s="201">
        <v>48</v>
      </c>
      <c r="C107" s="199">
        <f t="shared" si="1"/>
        <v>48</v>
      </c>
      <c r="D107" s="202"/>
    </row>
    <row r="108" spans="1:4" s="191" customFormat="1" ht="12.75">
      <c r="A108" s="203" t="s">
        <v>357</v>
      </c>
      <c r="B108" s="201"/>
      <c r="C108" s="199">
        <f t="shared" si="1"/>
        <v>0</v>
      </c>
      <c r="D108" s="202"/>
    </row>
    <row r="109" spans="1:4" s="191" customFormat="1" ht="12.75">
      <c r="A109" s="203" t="s">
        <v>418</v>
      </c>
      <c r="B109" s="201"/>
      <c r="C109" s="199">
        <f t="shared" si="1"/>
        <v>0</v>
      </c>
      <c r="D109" s="202"/>
    </row>
    <row r="110" spans="1:4" s="191" customFormat="1" ht="12.75">
      <c r="A110" s="204" t="s">
        <v>419</v>
      </c>
      <c r="B110" s="201"/>
      <c r="C110" s="199">
        <f t="shared" si="1"/>
        <v>0</v>
      </c>
      <c r="D110" s="202"/>
    </row>
    <row r="111" spans="1:4" s="191" customFormat="1" ht="12.75">
      <c r="A111" s="204" t="s">
        <v>420</v>
      </c>
      <c r="B111" s="201"/>
      <c r="C111" s="199">
        <f t="shared" si="1"/>
        <v>0</v>
      </c>
      <c r="D111" s="202"/>
    </row>
    <row r="112" spans="1:4" s="191" customFormat="1" ht="12.75">
      <c r="A112" s="204" t="s">
        <v>421</v>
      </c>
      <c r="B112" s="201"/>
      <c r="C112" s="199">
        <f t="shared" si="1"/>
        <v>0</v>
      </c>
      <c r="D112" s="202"/>
    </row>
    <row r="113" spans="1:4" s="191" customFormat="1" ht="12.75">
      <c r="A113" s="203" t="s">
        <v>422</v>
      </c>
      <c r="B113" s="201">
        <v>120</v>
      </c>
      <c r="C113" s="199">
        <f t="shared" si="1"/>
        <v>116</v>
      </c>
      <c r="D113" s="202">
        <v>4</v>
      </c>
    </row>
    <row r="114" spans="1:4" s="191" customFormat="1" ht="12.75">
      <c r="A114" s="203" t="s">
        <v>423</v>
      </c>
      <c r="B114" s="201"/>
      <c r="C114" s="199">
        <f t="shared" si="1"/>
        <v>0</v>
      </c>
      <c r="D114" s="202"/>
    </row>
    <row r="115" spans="1:4" s="191" customFormat="1" ht="12.75">
      <c r="A115" s="203" t="s">
        <v>424</v>
      </c>
      <c r="B115" s="201"/>
      <c r="C115" s="199">
        <f t="shared" si="1"/>
        <v>0</v>
      </c>
      <c r="D115" s="202"/>
    </row>
    <row r="116" spans="1:4" s="191" customFormat="1" ht="12.75">
      <c r="A116" s="204" t="s">
        <v>425</v>
      </c>
      <c r="B116" s="201">
        <v>50</v>
      </c>
      <c r="C116" s="199">
        <f t="shared" si="1"/>
        <v>50</v>
      </c>
      <c r="D116" s="202"/>
    </row>
    <row r="117" spans="1:4" s="191" customFormat="1" ht="12.75">
      <c r="A117" s="204" t="s">
        <v>426</v>
      </c>
      <c r="B117" s="201"/>
      <c r="C117" s="199">
        <f t="shared" si="1"/>
        <v>0</v>
      </c>
      <c r="D117" s="202"/>
    </row>
    <row r="118" spans="1:4" s="191" customFormat="1" ht="12.75">
      <c r="A118" s="204" t="s">
        <v>364</v>
      </c>
      <c r="B118" s="201"/>
      <c r="C118" s="199">
        <f t="shared" si="1"/>
        <v>0</v>
      </c>
      <c r="D118" s="202"/>
    </row>
    <row r="119" spans="1:4" s="191" customFormat="1" ht="12.75">
      <c r="A119" s="204" t="s">
        <v>427</v>
      </c>
      <c r="B119" s="201"/>
      <c r="C119" s="199">
        <f t="shared" si="1"/>
        <v>0</v>
      </c>
      <c r="D119" s="202"/>
    </row>
    <row r="120" spans="1:4" s="191" customFormat="1" ht="12.75">
      <c r="A120" s="197" t="s">
        <v>428</v>
      </c>
      <c r="B120" s="201">
        <f>SUM(B121:B128)</f>
        <v>1937</v>
      </c>
      <c r="C120" s="199">
        <f t="shared" si="1"/>
        <v>1937</v>
      </c>
      <c r="D120" s="202">
        <f>SUM(D121:D128)</f>
        <v>0</v>
      </c>
    </row>
    <row r="121" spans="1:4" s="191" customFormat="1" ht="12.75">
      <c r="A121" s="203" t="s">
        <v>355</v>
      </c>
      <c r="B121" s="201">
        <v>931</v>
      </c>
      <c r="C121" s="199">
        <f t="shared" si="1"/>
        <v>931</v>
      </c>
      <c r="D121" s="202"/>
    </row>
    <row r="122" spans="1:4" s="191" customFormat="1" ht="12.75">
      <c r="A122" s="203" t="s">
        <v>356</v>
      </c>
      <c r="B122" s="201">
        <v>1006</v>
      </c>
      <c r="C122" s="199">
        <f t="shared" si="1"/>
        <v>1006</v>
      </c>
      <c r="D122" s="202"/>
    </row>
    <row r="123" spans="1:4" s="191" customFormat="1" ht="12.75">
      <c r="A123" s="203" t="s">
        <v>357</v>
      </c>
      <c r="B123" s="201"/>
      <c r="C123" s="199">
        <f t="shared" si="1"/>
        <v>0</v>
      </c>
      <c r="D123" s="202"/>
    </row>
    <row r="124" spans="1:4" s="191" customFormat="1" ht="12.75">
      <c r="A124" s="204" t="s">
        <v>429</v>
      </c>
      <c r="B124" s="201"/>
      <c r="C124" s="199">
        <f t="shared" si="1"/>
        <v>0</v>
      </c>
      <c r="D124" s="202"/>
    </row>
    <row r="125" spans="1:4" s="191" customFormat="1" ht="12.75">
      <c r="A125" s="204" t="s">
        <v>430</v>
      </c>
      <c r="B125" s="201"/>
      <c r="C125" s="199">
        <f t="shared" si="1"/>
        <v>0</v>
      </c>
      <c r="D125" s="202"/>
    </row>
    <row r="126" spans="1:4" s="191" customFormat="1" ht="12.75">
      <c r="A126" s="204" t="s">
        <v>431</v>
      </c>
      <c r="B126" s="201"/>
      <c r="C126" s="199">
        <f t="shared" si="1"/>
        <v>0</v>
      </c>
      <c r="D126" s="202"/>
    </row>
    <row r="127" spans="1:4" s="191" customFormat="1" ht="12.75">
      <c r="A127" s="203" t="s">
        <v>364</v>
      </c>
      <c r="B127" s="201"/>
      <c r="C127" s="199">
        <f t="shared" si="1"/>
        <v>0</v>
      </c>
      <c r="D127" s="202"/>
    </row>
    <row r="128" spans="1:4" s="191" customFormat="1" ht="12.75">
      <c r="A128" s="203" t="s">
        <v>432</v>
      </c>
      <c r="B128" s="201"/>
      <c r="C128" s="199">
        <f t="shared" si="1"/>
        <v>0</v>
      </c>
      <c r="D128" s="202"/>
    </row>
    <row r="129" spans="1:4" s="191" customFormat="1" ht="12.75">
      <c r="A129" s="197" t="s">
        <v>433</v>
      </c>
      <c r="B129" s="201">
        <f>SUM(B130:B139)</f>
        <v>2972</v>
      </c>
      <c r="C129" s="199">
        <f t="shared" si="1"/>
        <v>2972</v>
      </c>
      <c r="D129" s="202">
        <f>SUM(D130:D139)</f>
        <v>0</v>
      </c>
    </row>
    <row r="130" spans="1:4" s="191" customFormat="1" ht="12.75">
      <c r="A130" s="203" t="s">
        <v>355</v>
      </c>
      <c r="B130" s="201">
        <f>544+200+100</f>
        <v>844</v>
      </c>
      <c r="C130" s="199">
        <f t="shared" si="1"/>
        <v>844</v>
      </c>
      <c r="D130" s="202"/>
    </row>
    <row r="131" spans="1:4" s="191" customFormat="1" ht="12.75">
      <c r="A131" s="203" t="s">
        <v>356</v>
      </c>
      <c r="B131" s="201">
        <v>52</v>
      </c>
      <c r="C131" s="199">
        <f t="shared" si="1"/>
        <v>52</v>
      </c>
      <c r="D131" s="202"/>
    </row>
    <row r="132" spans="1:4" s="191" customFormat="1" ht="12.75">
      <c r="A132" s="203" t="s">
        <v>357</v>
      </c>
      <c r="B132" s="201">
        <f>322-200</f>
        <v>122</v>
      </c>
      <c r="C132" s="199">
        <f t="shared" si="1"/>
        <v>122</v>
      </c>
      <c r="D132" s="202"/>
    </row>
    <row r="133" spans="1:4" s="191" customFormat="1" ht="12.75">
      <c r="A133" s="204" t="s">
        <v>434</v>
      </c>
      <c r="B133" s="201"/>
      <c r="C133" s="199">
        <f t="shared" si="1"/>
        <v>0</v>
      </c>
      <c r="D133" s="202"/>
    </row>
    <row r="134" spans="1:4" s="191" customFormat="1" ht="12.75">
      <c r="A134" s="204" t="s">
        <v>435</v>
      </c>
      <c r="B134" s="201"/>
      <c r="C134" s="199">
        <f t="shared" si="1"/>
        <v>0</v>
      </c>
      <c r="D134" s="202"/>
    </row>
    <row r="135" spans="1:4" s="191" customFormat="1" ht="12.75">
      <c r="A135" s="204" t="s">
        <v>436</v>
      </c>
      <c r="B135" s="201"/>
      <c r="C135" s="199">
        <f aca="true" t="shared" si="2" ref="C135:C198">B135-D135</f>
        <v>0</v>
      </c>
      <c r="D135" s="202"/>
    </row>
    <row r="136" spans="1:4" s="191" customFormat="1" ht="12.75">
      <c r="A136" s="203" t="s">
        <v>437</v>
      </c>
      <c r="B136" s="201"/>
      <c r="C136" s="199">
        <f t="shared" si="2"/>
        <v>0</v>
      </c>
      <c r="D136" s="202"/>
    </row>
    <row r="137" spans="1:4" s="191" customFormat="1" ht="12.75">
      <c r="A137" s="203" t="s">
        <v>438</v>
      </c>
      <c r="B137" s="201">
        <f>734+200+400</f>
        <v>1334</v>
      </c>
      <c r="C137" s="199">
        <f t="shared" si="2"/>
        <v>1334</v>
      </c>
      <c r="D137" s="202"/>
    </row>
    <row r="138" spans="1:4" s="191" customFormat="1" ht="12.75">
      <c r="A138" s="203" t="s">
        <v>364</v>
      </c>
      <c r="B138" s="201"/>
      <c r="C138" s="199">
        <f t="shared" si="2"/>
        <v>0</v>
      </c>
      <c r="D138" s="202"/>
    </row>
    <row r="139" spans="1:4" s="191" customFormat="1" ht="12.75">
      <c r="A139" s="204" t="s">
        <v>439</v>
      </c>
      <c r="B139" s="201">
        <v>620</v>
      </c>
      <c r="C139" s="199">
        <f t="shared" si="2"/>
        <v>620</v>
      </c>
      <c r="D139" s="202"/>
    </row>
    <row r="140" spans="1:4" s="191" customFormat="1" ht="12.75">
      <c r="A140" s="206" t="s">
        <v>440</v>
      </c>
      <c r="B140" s="201">
        <f>SUM(B141:B151)</f>
        <v>10</v>
      </c>
      <c r="C140" s="199">
        <f t="shared" si="2"/>
        <v>6</v>
      </c>
      <c r="D140" s="202">
        <f>SUM(D141:D151)</f>
        <v>4</v>
      </c>
    </row>
    <row r="141" spans="1:4" s="191" customFormat="1" ht="12.75">
      <c r="A141" s="204" t="s">
        <v>355</v>
      </c>
      <c r="B141" s="201"/>
      <c r="C141" s="199">
        <f t="shared" si="2"/>
        <v>0</v>
      </c>
      <c r="D141" s="202"/>
    </row>
    <row r="142" spans="1:4" s="191" customFormat="1" ht="12.75">
      <c r="A142" s="205" t="s">
        <v>356</v>
      </c>
      <c r="B142" s="201"/>
      <c r="C142" s="199">
        <f t="shared" si="2"/>
        <v>0</v>
      </c>
      <c r="D142" s="202"/>
    </row>
    <row r="143" spans="1:4" s="191" customFormat="1" ht="12.75">
      <c r="A143" s="203" t="s">
        <v>357</v>
      </c>
      <c r="B143" s="201"/>
      <c r="C143" s="199">
        <f t="shared" si="2"/>
        <v>0</v>
      </c>
      <c r="D143" s="202"/>
    </row>
    <row r="144" spans="1:4" s="191" customFormat="1" ht="12.75">
      <c r="A144" s="203" t="s">
        <v>441</v>
      </c>
      <c r="B144" s="201"/>
      <c r="C144" s="199">
        <f t="shared" si="2"/>
        <v>0</v>
      </c>
      <c r="D144" s="202"/>
    </row>
    <row r="145" spans="1:4" s="191" customFormat="1" ht="12.75">
      <c r="A145" s="203" t="s">
        <v>442</v>
      </c>
      <c r="B145" s="201"/>
      <c r="C145" s="199">
        <f t="shared" si="2"/>
        <v>0</v>
      </c>
      <c r="D145" s="202"/>
    </row>
    <row r="146" spans="1:4" s="191" customFormat="1" ht="12.75">
      <c r="A146" s="204" t="s">
        <v>443</v>
      </c>
      <c r="B146" s="201"/>
      <c r="C146" s="199">
        <f t="shared" si="2"/>
        <v>0</v>
      </c>
      <c r="D146" s="202"/>
    </row>
    <row r="147" spans="1:4" s="191" customFormat="1" ht="12.75">
      <c r="A147" s="204" t="s">
        <v>444</v>
      </c>
      <c r="B147" s="201"/>
      <c r="C147" s="199">
        <f t="shared" si="2"/>
        <v>0</v>
      </c>
      <c r="D147" s="202"/>
    </row>
    <row r="148" spans="1:4" s="191" customFormat="1" ht="12.75">
      <c r="A148" s="204" t="s">
        <v>445</v>
      </c>
      <c r="B148" s="201"/>
      <c r="C148" s="199">
        <f t="shared" si="2"/>
        <v>0</v>
      </c>
      <c r="D148" s="202"/>
    </row>
    <row r="149" spans="1:4" s="191" customFormat="1" ht="12.75">
      <c r="A149" s="203" t="s">
        <v>446</v>
      </c>
      <c r="B149" s="201"/>
      <c r="C149" s="199">
        <f t="shared" si="2"/>
        <v>0</v>
      </c>
      <c r="D149" s="202"/>
    </row>
    <row r="150" spans="1:4" s="191" customFormat="1" ht="12.75">
      <c r="A150" s="203" t="s">
        <v>364</v>
      </c>
      <c r="B150" s="201"/>
      <c r="C150" s="199">
        <f t="shared" si="2"/>
        <v>0</v>
      </c>
      <c r="D150" s="202"/>
    </row>
    <row r="151" spans="1:4" s="191" customFormat="1" ht="12.75">
      <c r="A151" s="203" t="s">
        <v>447</v>
      </c>
      <c r="B151" s="201">
        <v>10</v>
      </c>
      <c r="C151" s="199">
        <f t="shared" si="2"/>
        <v>6</v>
      </c>
      <c r="D151" s="202">
        <v>4</v>
      </c>
    </row>
    <row r="152" spans="1:4" s="191" customFormat="1" ht="12.75">
      <c r="A152" s="206" t="s">
        <v>448</v>
      </c>
      <c r="B152" s="201">
        <f>SUM(B153:B161)</f>
        <v>6090</v>
      </c>
      <c r="C152" s="199">
        <f t="shared" si="2"/>
        <v>5742</v>
      </c>
      <c r="D152" s="202">
        <f>SUM(D153:D161)</f>
        <v>348</v>
      </c>
    </row>
    <row r="153" spans="1:4" s="191" customFormat="1" ht="12.75">
      <c r="A153" s="204" t="s">
        <v>355</v>
      </c>
      <c r="B153" s="201">
        <v>4499</v>
      </c>
      <c r="C153" s="199">
        <f t="shared" si="2"/>
        <v>4468</v>
      </c>
      <c r="D153" s="202">
        <v>31</v>
      </c>
    </row>
    <row r="154" spans="1:4" s="191" customFormat="1" ht="12.75">
      <c r="A154" s="204" t="s">
        <v>356</v>
      </c>
      <c r="B154" s="201"/>
      <c r="C154" s="199">
        <f t="shared" si="2"/>
        <v>0</v>
      </c>
      <c r="D154" s="202"/>
    </row>
    <row r="155" spans="1:4" s="191" customFormat="1" ht="12.75">
      <c r="A155" s="205" t="s">
        <v>357</v>
      </c>
      <c r="B155" s="201"/>
      <c r="C155" s="199">
        <f t="shared" si="2"/>
        <v>0</v>
      </c>
      <c r="D155" s="202"/>
    </row>
    <row r="156" spans="1:4" s="191" customFormat="1" ht="12.75">
      <c r="A156" s="203" t="s">
        <v>449</v>
      </c>
      <c r="B156" s="201">
        <v>908</v>
      </c>
      <c r="C156" s="199">
        <f t="shared" si="2"/>
        <v>591</v>
      </c>
      <c r="D156" s="202">
        <v>317</v>
      </c>
    </row>
    <row r="157" spans="1:4" s="191" customFormat="1" ht="12.75">
      <c r="A157" s="203" t="s">
        <v>450</v>
      </c>
      <c r="B157" s="201">
        <v>312</v>
      </c>
      <c r="C157" s="199">
        <f t="shared" si="2"/>
        <v>312</v>
      </c>
      <c r="D157" s="202"/>
    </row>
    <row r="158" spans="1:4" s="191" customFormat="1" ht="12.75">
      <c r="A158" s="203" t="s">
        <v>451</v>
      </c>
      <c r="B158" s="201">
        <v>321</v>
      </c>
      <c r="C158" s="199">
        <f t="shared" si="2"/>
        <v>321</v>
      </c>
      <c r="D158" s="202"/>
    </row>
    <row r="159" spans="1:4" s="191" customFormat="1" ht="12.75">
      <c r="A159" s="204" t="s">
        <v>398</v>
      </c>
      <c r="B159" s="201">
        <v>50</v>
      </c>
      <c r="C159" s="199">
        <f t="shared" si="2"/>
        <v>50</v>
      </c>
      <c r="D159" s="202"/>
    </row>
    <row r="160" spans="1:4" s="191" customFormat="1" ht="12.75">
      <c r="A160" s="204" t="s">
        <v>364</v>
      </c>
      <c r="B160" s="201"/>
      <c r="C160" s="199">
        <f t="shared" si="2"/>
        <v>0</v>
      </c>
      <c r="D160" s="202"/>
    </row>
    <row r="161" spans="1:4" s="191" customFormat="1" ht="12.75">
      <c r="A161" s="204" t="s">
        <v>452</v>
      </c>
      <c r="B161" s="201"/>
      <c r="C161" s="199">
        <f t="shared" si="2"/>
        <v>0</v>
      </c>
      <c r="D161" s="202"/>
    </row>
    <row r="162" spans="1:4" s="191" customFormat="1" ht="12.75">
      <c r="A162" s="200" t="s">
        <v>453</v>
      </c>
      <c r="B162" s="201">
        <f>SUM(B163:B174)</f>
        <v>2473</v>
      </c>
      <c r="C162" s="199">
        <f t="shared" si="2"/>
        <v>2418</v>
      </c>
      <c r="D162" s="202">
        <f>SUM(D163:D174)</f>
        <v>55</v>
      </c>
    </row>
    <row r="163" spans="1:4" s="191" customFormat="1" ht="12.75">
      <c r="A163" s="203" t="s">
        <v>355</v>
      </c>
      <c r="B163" s="201">
        <f>122+900</f>
        <v>1022</v>
      </c>
      <c r="C163" s="199">
        <f t="shared" si="2"/>
        <v>1014</v>
      </c>
      <c r="D163" s="202">
        <v>8</v>
      </c>
    </row>
    <row r="164" spans="1:4" s="191" customFormat="1" ht="12.75">
      <c r="A164" s="203" t="s">
        <v>356</v>
      </c>
      <c r="B164" s="201">
        <f>287+300</f>
        <v>587</v>
      </c>
      <c r="C164" s="199">
        <f t="shared" si="2"/>
        <v>587</v>
      </c>
      <c r="D164" s="202"/>
    </row>
    <row r="165" spans="1:4" s="191" customFormat="1" ht="12.75">
      <c r="A165" s="204" t="s">
        <v>357</v>
      </c>
      <c r="B165" s="201"/>
      <c r="C165" s="199">
        <f t="shared" si="2"/>
        <v>0</v>
      </c>
      <c r="D165" s="202"/>
    </row>
    <row r="166" spans="1:4" s="191" customFormat="1" ht="12.75">
      <c r="A166" s="204" t="s">
        <v>454</v>
      </c>
      <c r="B166" s="201"/>
      <c r="C166" s="199">
        <f t="shared" si="2"/>
        <v>0</v>
      </c>
      <c r="D166" s="202"/>
    </row>
    <row r="167" spans="1:4" s="191" customFormat="1" ht="12.75">
      <c r="A167" s="204" t="s">
        <v>455</v>
      </c>
      <c r="B167" s="201"/>
      <c r="C167" s="199">
        <f t="shared" si="2"/>
        <v>0</v>
      </c>
      <c r="D167" s="202"/>
    </row>
    <row r="168" spans="1:4" s="191" customFormat="1" ht="12.75">
      <c r="A168" s="204" t="s">
        <v>456</v>
      </c>
      <c r="B168" s="201"/>
      <c r="C168" s="199">
        <f t="shared" si="2"/>
        <v>0</v>
      </c>
      <c r="D168" s="202"/>
    </row>
    <row r="169" spans="1:4" s="191" customFormat="1" ht="12.75">
      <c r="A169" s="203" t="s">
        <v>457</v>
      </c>
      <c r="B169" s="201"/>
      <c r="C169" s="199">
        <f t="shared" si="2"/>
        <v>0</v>
      </c>
      <c r="D169" s="202"/>
    </row>
    <row r="170" spans="1:4" s="191" customFormat="1" ht="12.75">
      <c r="A170" s="203" t="s">
        <v>458</v>
      </c>
      <c r="B170" s="201"/>
      <c r="C170" s="199">
        <f t="shared" si="2"/>
        <v>0</v>
      </c>
      <c r="D170" s="202"/>
    </row>
    <row r="171" spans="1:4" s="191" customFormat="1" ht="12.75">
      <c r="A171" s="203" t="s">
        <v>459</v>
      </c>
      <c r="B171" s="201"/>
      <c r="C171" s="199">
        <f t="shared" si="2"/>
        <v>0</v>
      </c>
      <c r="D171" s="202"/>
    </row>
    <row r="172" spans="1:4" s="191" customFormat="1" ht="12.75">
      <c r="A172" s="204" t="s">
        <v>398</v>
      </c>
      <c r="B172" s="201"/>
      <c r="C172" s="199">
        <f t="shared" si="2"/>
        <v>0</v>
      </c>
      <c r="D172" s="202"/>
    </row>
    <row r="173" spans="1:4" s="191" customFormat="1" ht="12.75">
      <c r="A173" s="204" t="s">
        <v>364</v>
      </c>
      <c r="B173" s="201">
        <f>499+40</f>
        <v>539</v>
      </c>
      <c r="C173" s="199">
        <f t="shared" si="2"/>
        <v>492</v>
      </c>
      <c r="D173" s="202">
        <v>47</v>
      </c>
    </row>
    <row r="174" spans="1:4" s="191" customFormat="1" ht="12.75">
      <c r="A174" s="204" t="s">
        <v>460</v>
      </c>
      <c r="B174" s="201">
        <f>167+158</f>
        <v>325</v>
      </c>
      <c r="C174" s="199">
        <f t="shared" si="2"/>
        <v>325</v>
      </c>
      <c r="D174" s="202"/>
    </row>
    <row r="175" spans="1:4" s="191" customFormat="1" ht="12.75">
      <c r="A175" s="200" t="s">
        <v>461</v>
      </c>
      <c r="B175" s="201">
        <f>SUM(B176:B181)</f>
        <v>6</v>
      </c>
      <c r="C175" s="199">
        <f t="shared" si="2"/>
        <v>0</v>
      </c>
      <c r="D175" s="202">
        <f>SUM(D176:D181)</f>
        <v>6</v>
      </c>
    </row>
    <row r="176" spans="1:4" s="191" customFormat="1" ht="12.75">
      <c r="A176" s="203" t="s">
        <v>355</v>
      </c>
      <c r="B176" s="208"/>
      <c r="C176" s="199">
        <f t="shared" si="2"/>
        <v>0</v>
      </c>
      <c r="D176" s="209"/>
    </row>
    <row r="177" spans="1:4" s="191" customFormat="1" ht="12.75">
      <c r="A177" s="203" t="s">
        <v>356</v>
      </c>
      <c r="B177" s="201"/>
      <c r="C177" s="199">
        <f t="shared" si="2"/>
        <v>0</v>
      </c>
      <c r="D177" s="202"/>
    </row>
    <row r="178" spans="1:4" s="191" customFormat="1" ht="12.75">
      <c r="A178" s="204" t="s">
        <v>357</v>
      </c>
      <c r="B178" s="201"/>
      <c r="C178" s="199">
        <f t="shared" si="2"/>
        <v>0</v>
      </c>
      <c r="D178" s="202"/>
    </row>
    <row r="179" spans="1:4" s="191" customFormat="1" ht="12.75">
      <c r="A179" s="204" t="s">
        <v>462</v>
      </c>
      <c r="B179" s="201">
        <v>6</v>
      </c>
      <c r="C179" s="199">
        <f t="shared" si="2"/>
        <v>0</v>
      </c>
      <c r="D179" s="202">
        <v>6</v>
      </c>
    </row>
    <row r="180" spans="1:4" s="191" customFormat="1" ht="12.75">
      <c r="A180" s="204" t="s">
        <v>364</v>
      </c>
      <c r="B180" s="201"/>
      <c r="C180" s="199">
        <f t="shared" si="2"/>
        <v>0</v>
      </c>
      <c r="D180" s="202"/>
    </row>
    <row r="181" spans="1:4" s="191" customFormat="1" ht="12.75">
      <c r="A181" s="205" t="s">
        <v>463</v>
      </c>
      <c r="B181" s="201"/>
      <c r="C181" s="199">
        <f t="shared" si="2"/>
        <v>0</v>
      </c>
      <c r="D181" s="202"/>
    </row>
    <row r="182" spans="1:4" s="191" customFormat="1" ht="12.75">
      <c r="A182" s="200" t="s">
        <v>464</v>
      </c>
      <c r="B182" s="201">
        <f>SUM(B183:B188)</f>
        <v>4</v>
      </c>
      <c r="C182" s="199">
        <f t="shared" si="2"/>
        <v>0</v>
      </c>
      <c r="D182" s="202">
        <f>SUM(D183:D188)</f>
        <v>4</v>
      </c>
    </row>
    <row r="183" spans="1:4" s="191" customFormat="1" ht="12.75">
      <c r="A183" s="203" t="s">
        <v>355</v>
      </c>
      <c r="B183" s="201"/>
      <c r="C183" s="199">
        <f t="shared" si="2"/>
        <v>0</v>
      </c>
      <c r="D183" s="202"/>
    </row>
    <row r="184" spans="1:4" s="191" customFormat="1" ht="12.75">
      <c r="A184" s="203" t="s">
        <v>356</v>
      </c>
      <c r="B184" s="201">
        <v>4</v>
      </c>
      <c r="C184" s="199">
        <f t="shared" si="2"/>
        <v>0</v>
      </c>
      <c r="D184" s="202">
        <v>4</v>
      </c>
    </row>
    <row r="185" spans="1:4" s="191" customFormat="1" ht="12.75">
      <c r="A185" s="204" t="s">
        <v>357</v>
      </c>
      <c r="B185" s="201"/>
      <c r="C185" s="199">
        <f t="shared" si="2"/>
        <v>0</v>
      </c>
      <c r="D185" s="202"/>
    </row>
    <row r="186" spans="1:4" s="191" customFormat="1" ht="12.75">
      <c r="A186" s="204" t="s">
        <v>465</v>
      </c>
      <c r="B186" s="201"/>
      <c r="C186" s="199">
        <f t="shared" si="2"/>
        <v>0</v>
      </c>
      <c r="D186" s="202"/>
    </row>
    <row r="187" spans="1:4" s="191" customFormat="1" ht="12.75">
      <c r="A187" s="204" t="s">
        <v>364</v>
      </c>
      <c r="B187" s="201"/>
      <c r="C187" s="199">
        <f t="shared" si="2"/>
        <v>0</v>
      </c>
      <c r="D187" s="202"/>
    </row>
    <row r="188" spans="1:4" s="191" customFormat="1" ht="12.75">
      <c r="A188" s="203" t="s">
        <v>466</v>
      </c>
      <c r="B188" s="201"/>
      <c r="C188" s="199">
        <f t="shared" si="2"/>
        <v>0</v>
      </c>
      <c r="D188" s="202"/>
    </row>
    <row r="189" spans="1:4" s="191" customFormat="1" ht="12.75">
      <c r="A189" s="200" t="s">
        <v>467</v>
      </c>
      <c r="B189" s="201">
        <f>SUM(B190:B197)</f>
        <v>164</v>
      </c>
      <c r="C189" s="199">
        <f t="shared" si="2"/>
        <v>159</v>
      </c>
      <c r="D189" s="202">
        <f>SUM(D190:D197)</f>
        <v>5</v>
      </c>
    </row>
    <row r="190" spans="1:4" s="191" customFormat="1" ht="12.75">
      <c r="A190" s="203" t="s">
        <v>355</v>
      </c>
      <c r="B190" s="201">
        <v>127</v>
      </c>
      <c r="C190" s="199">
        <f t="shared" si="2"/>
        <v>127</v>
      </c>
      <c r="D190" s="202"/>
    </row>
    <row r="191" spans="1:4" s="191" customFormat="1" ht="12.75">
      <c r="A191" s="204" t="s">
        <v>356</v>
      </c>
      <c r="B191" s="201">
        <v>23</v>
      </c>
      <c r="C191" s="199">
        <f t="shared" si="2"/>
        <v>23</v>
      </c>
      <c r="D191" s="202"/>
    </row>
    <row r="192" spans="1:4" s="191" customFormat="1" ht="12.75">
      <c r="A192" s="204" t="s">
        <v>357</v>
      </c>
      <c r="B192" s="201"/>
      <c r="C192" s="199">
        <f t="shared" si="2"/>
        <v>0</v>
      </c>
      <c r="D192" s="202"/>
    </row>
    <row r="193" spans="1:4" s="191" customFormat="1" ht="12.75">
      <c r="A193" s="204" t="s">
        <v>468</v>
      </c>
      <c r="B193" s="201"/>
      <c r="C193" s="199">
        <f t="shared" si="2"/>
        <v>0</v>
      </c>
      <c r="D193" s="202"/>
    </row>
    <row r="194" spans="1:4" s="191" customFormat="1" ht="12.75">
      <c r="A194" s="205" t="s">
        <v>469</v>
      </c>
      <c r="B194" s="201"/>
      <c r="C194" s="199">
        <f t="shared" si="2"/>
        <v>0</v>
      </c>
      <c r="D194" s="202"/>
    </row>
    <row r="195" spans="1:4" s="191" customFormat="1" ht="12.75">
      <c r="A195" s="203" t="s">
        <v>470</v>
      </c>
      <c r="B195" s="201"/>
      <c r="C195" s="199">
        <f t="shared" si="2"/>
        <v>0</v>
      </c>
      <c r="D195" s="202"/>
    </row>
    <row r="196" spans="1:4" s="191" customFormat="1" ht="12.75">
      <c r="A196" s="203" t="s">
        <v>364</v>
      </c>
      <c r="B196" s="201"/>
      <c r="C196" s="199">
        <f t="shared" si="2"/>
        <v>0</v>
      </c>
      <c r="D196" s="202"/>
    </row>
    <row r="197" spans="1:4" s="191" customFormat="1" ht="12.75">
      <c r="A197" s="203" t="s">
        <v>471</v>
      </c>
      <c r="B197" s="201">
        <v>14</v>
      </c>
      <c r="C197" s="199">
        <f t="shared" si="2"/>
        <v>9</v>
      </c>
      <c r="D197" s="202">
        <v>5</v>
      </c>
    </row>
    <row r="198" spans="1:4" s="191" customFormat="1" ht="12.75">
      <c r="A198" s="206" t="s">
        <v>472</v>
      </c>
      <c r="B198" s="201">
        <f>SUM(B199:B203)</f>
        <v>299</v>
      </c>
      <c r="C198" s="199">
        <f t="shared" si="2"/>
        <v>292</v>
      </c>
      <c r="D198" s="202">
        <f>SUM(D199:D203)</f>
        <v>7</v>
      </c>
    </row>
    <row r="199" spans="1:4" s="191" customFormat="1" ht="12.75">
      <c r="A199" s="204" t="s">
        <v>355</v>
      </c>
      <c r="B199" s="201">
        <f>198+40</f>
        <v>238</v>
      </c>
      <c r="C199" s="199">
        <f aca="true" t="shared" si="3" ref="C199:C262">B199-D199</f>
        <v>238</v>
      </c>
      <c r="D199" s="202"/>
    </row>
    <row r="200" spans="1:4" s="191" customFormat="1" ht="12.75">
      <c r="A200" s="204" t="s">
        <v>356</v>
      </c>
      <c r="B200" s="201">
        <f>27+34</f>
        <v>61</v>
      </c>
      <c r="C200" s="199">
        <f t="shared" si="3"/>
        <v>54</v>
      </c>
      <c r="D200" s="202">
        <v>7</v>
      </c>
    </row>
    <row r="201" spans="1:4" ht="14.25">
      <c r="A201" s="203" t="s">
        <v>357</v>
      </c>
      <c r="B201" s="201"/>
      <c r="C201" s="199">
        <f t="shared" si="3"/>
        <v>0</v>
      </c>
      <c r="D201" s="202"/>
    </row>
    <row r="202" spans="1:4" ht="14.25">
      <c r="A202" s="203" t="s">
        <v>473</v>
      </c>
      <c r="B202" s="201"/>
      <c r="C202" s="199">
        <f t="shared" si="3"/>
        <v>0</v>
      </c>
      <c r="D202" s="202"/>
    </row>
    <row r="203" spans="1:4" ht="14.25">
      <c r="A203" s="203" t="s">
        <v>474</v>
      </c>
      <c r="B203" s="201"/>
      <c r="C203" s="199">
        <f t="shared" si="3"/>
        <v>0</v>
      </c>
      <c r="D203" s="202"/>
    </row>
    <row r="204" spans="1:4" ht="14.25">
      <c r="A204" s="206" t="s">
        <v>475</v>
      </c>
      <c r="B204" s="201">
        <f>SUM(B205:B210)</f>
        <v>791</v>
      </c>
      <c r="C204" s="199">
        <f t="shared" si="3"/>
        <v>791</v>
      </c>
      <c r="D204" s="202">
        <f>SUM(D205:D210)</f>
        <v>0</v>
      </c>
    </row>
    <row r="205" spans="1:4" ht="14.25">
      <c r="A205" s="204" t="s">
        <v>355</v>
      </c>
      <c r="B205" s="201">
        <v>399</v>
      </c>
      <c r="C205" s="199">
        <f t="shared" si="3"/>
        <v>399</v>
      </c>
      <c r="D205" s="202"/>
    </row>
    <row r="206" spans="1:4" ht="14.25">
      <c r="A206" s="204" t="s">
        <v>356</v>
      </c>
      <c r="B206" s="201">
        <f>112+280</f>
        <v>392</v>
      </c>
      <c r="C206" s="199">
        <f t="shared" si="3"/>
        <v>392</v>
      </c>
      <c r="D206" s="202"/>
    </row>
    <row r="207" spans="1:4" ht="14.25">
      <c r="A207" s="205" t="s">
        <v>357</v>
      </c>
      <c r="B207" s="201"/>
      <c r="C207" s="199">
        <f t="shared" si="3"/>
        <v>0</v>
      </c>
      <c r="D207" s="202"/>
    </row>
    <row r="208" spans="1:4" ht="14.25">
      <c r="A208" s="203" t="s">
        <v>369</v>
      </c>
      <c r="B208" s="201"/>
      <c r="C208" s="199">
        <f t="shared" si="3"/>
        <v>0</v>
      </c>
      <c r="D208" s="202"/>
    </row>
    <row r="209" spans="1:4" ht="14.25">
      <c r="A209" s="203" t="s">
        <v>364</v>
      </c>
      <c r="B209" s="201"/>
      <c r="C209" s="199">
        <f t="shared" si="3"/>
        <v>0</v>
      </c>
      <c r="D209" s="202"/>
    </row>
    <row r="210" spans="1:4" ht="14.25">
      <c r="A210" s="203" t="s">
        <v>476</v>
      </c>
      <c r="B210" s="201"/>
      <c r="C210" s="199">
        <f t="shared" si="3"/>
        <v>0</v>
      </c>
      <c r="D210" s="202"/>
    </row>
    <row r="211" spans="1:4" ht="14.25">
      <c r="A211" s="206" t="s">
        <v>477</v>
      </c>
      <c r="B211" s="201">
        <f>SUM(B212:B218)</f>
        <v>969</v>
      </c>
      <c r="C211" s="199">
        <f t="shared" si="3"/>
        <v>960</v>
      </c>
      <c r="D211" s="202">
        <f>SUM(D212:D218)</f>
        <v>9</v>
      </c>
    </row>
    <row r="212" spans="1:4" ht="14.25">
      <c r="A212" s="204" t="s">
        <v>355</v>
      </c>
      <c r="B212" s="208">
        <f>929-200</f>
        <v>729</v>
      </c>
      <c r="C212" s="199">
        <f t="shared" si="3"/>
        <v>729</v>
      </c>
      <c r="D212" s="209"/>
    </row>
    <row r="213" spans="1:4" ht="14.25">
      <c r="A213" s="204" t="s">
        <v>356</v>
      </c>
      <c r="B213" s="208">
        <v>160</v>
      </c>
      <c r="C213" s="199">
        <f t="shared" si="3"/>
        <v>154</v>
      </c>
      <c r="D213" s="209">
        <v>6</v>
      </c>
    </row>
    <row r="214" spans="1:4" ht="14.25">
      <c r="A214" s="203" t="s">
        <v>357</v>
      </c>
      <c r="B214" s="208"/>
      <c r="C214" s="199">
        <f t="shared" si="3"/>
        <v>0</v>
      </c>
      <c r="D214" s="209"/>
    </row>
    <row r="215" spans="1:4" ht="14.25">
      <c r="A215" s="203" t="s">
        <v>478</v>
      </c>
      <c r="B215" s="201"/>
      <c r="C215" s="199">
        <f t="shared" si="3"/>
        <v>0</v>
      </c>
      <c r="D215" s="202"/>
    </row>
    <row r="216" spans="1:4" ht="14.25">
      <c r="A216" s="203" t="s">
        <v>479</v>
      </c>
      <c r="B216" s="201"/>
      <c r="C216" s="199">
        <f t="shared" si="3"/>
        <v>0</v>
      </c>
      <c r="D216" s="202"/>
    </row>
    <row r="217" spans="1:4" ht="14.25">
      <c r="A217" s="204" t="s">
        <v>364</v>
      </c>
      <c r="B217" s="210">
        <v>14</v>
      </c>
      <c r="C217" s="199">
        <f t="shared" si="3"/>
        <v>14</v>
      </c>
      <c r="D217" s="211"/>
    </row>
    <row r="218" spans="1:4" ht="14.25">
      <c r="A218" s="204" t="s">
        <v>480</v>
      </c>
      <c r="B218" s="210">
        <v>66</v>
      </c>
      <c r="C218" s="199">
        <f t="shared" si="3"/>
        <v>63</v>
      </c>
      <c r="D218" s="211">
        <v>3</v>
      </c>
    </row>
    <row r="219" spans="1:4" ht="14.25">
      <c r="A219" s="206" t="s">
        <v>481</v>
      </c>
      <c r="B219" s="210">
        <f>SUM(B220:B225)</f>
        <v>3597</v>
      </c>
      <c r="C219" s="199">
        <f t="shared" si="3"/>
        <v>3590</v>
      </c>
      <c r="D219" s="211">
        <f>SUM(D220:D225)</f>
        <v>7</v>
      </c>
    </row>
    <row r="220" spans="1:4" ht="14.25">
      <c r="A220" s="204" t="s">
        <v>355</v>
      </c>
      <c r="B220" s="210">
        <f>1545+700</f>
        <v>2245</v>
      </c>
      <c r="C220" s="199">
        <f t="shared" si="3"/>
        <v>2245</v>
      </c>
      <c r="D220" s="211"/>
    </row>
    <row r="221" spans="1:4" ht="14.25">
      <c r="A221" s="203" t="s">
        <v>356</v>
      </c>
      <c r="B221" s="212">
        <v>1036</v>
      </c>
      <c r="C221" s="199">
        <f t="shared" si="3"/>
        <v>1036</v>
      </c>
      <c r="D221" s="213"/>
    </row>
    <row r="222" spans="1:4" ht="14.25">
      <c r="A222" s="203" t="s">
        <v>357</v>
      </c>
      <c r="B222" s="212"/>
      <c r="C222" s="199">
        <f t="shared" si="3"/>
        <v>0</v>
      </c>
      <c r="D222" s="213"/>
    </row>
    <row r="223" spans="1:4" ht="14.25">
      <c r="A223" s="203" t="s">
        <v>482</v>
      </c>
      <c r="B223" s="212">
        <v>109</v>
      </c>
      <c r="C223" s="199">
        <f t="shared" si="3"/>
        <v>109</v>
      </c>
      <c r="D223" s="213"/>
    </row>
    <row r="224" spans="1:4" ht="14.25">
      <c r="A224" s="204" t="s">
        <v>364</v>
      </c>
      <c r="B224" s="212"/>
      <c r="C224" s="199">
        <f t="shared" si="3"/>
        <v>0</v>
      </c>
      <c r="D224" s="213"/>
    </row>
    <row r="225" spans="1:4" ht="14.25">
      <c r="A225" s="204" t="s">
        <v>483</v>
      </c>
      <c r="B225" s="212">
        <f>87+120</f>
        <v>207</v>
      </c>
      <c r="C225" s="199">
        <f t="shared" si="3"/>
        <v>200</v>
      </c>
      <c r="D225" s="213">
        <v>7</v>
      </c>
    </row>
    <row r="226" spans="1:4" ht="14.25">
      <c r="A226" s="206" t="s">
        <v>484</v>
      </c>
      <c r="B226" s="212">
        <f>SUM(B227:B231)</f>
        <v>737</v>
      </c>
      <c r="C226" s="199">
        <f t="shared" si="3"/>
        <v>737</v>
      </c>
      <c r="D226" s="213">
        <f>SUM(D227:D231)</f>
        <v>0</v>
      </c>
    </row>
    <row r="227" spans="1:4" ht="14.25">
      <c r="A227" s="203" t="s">
        <v>355</v>
      </c>
      <c r="B227" s="212">
        <v>405</v>
      </c>
      <c r="C227" s="199">
        <f t="shared" si="3"/>
        <v>405</v>
      </c>
      <c r="D227" s="213"/>
    </row>
    <row r="228" spans="1:4" ht="14.25">
      <c r="A228" s="203" t="s">
        <v>356</v>
      </c>
      <c r="B228" s="212">
        <f>252+50</f>
        <v>302</v>
      </c>
      <c r="C228" s="199">
        <f t="shared" si="3"/>
        <v>302</v>
      </c>
      <c r="D228" s="213"/>
    </row>
    <row r="229" spans="1:4" ht="14.25">
      <c r="A229" s="203" t="s">
        <v>357</v>
      </c>
      <c r="B229" s="210"/>
      <c r="C229" s="199">
        <f t="shared" si="3"/>
        <v>0</v>
      </c>
      <c r="D229" s="211"/>
    </row>
    <row r="230" spans="1:4" ht="14.25">
      <c r="A230" s="204" t="s">
        <v>364</v>
      </c>
      <c r="B230" s="210"/>
      <c r="C230" s="199">
        <f t="shared" si="3"/>
        <v>0</v>
      </c>
      <c r="D230" s="211"/>
    </row>
    <row r="231" spans="1:4" ht="14.25">
      <c r="A231" s="204" t="s">
        <v>485</v>
      </c>
      <c r="B231" s="210">
        <v>30</v>
      </c>
      <c r="C231" s="199">
        <f t="shared" si="3"/>
        <v>30</v>
      </c>
      <c r="D231" s="211"/>
    </row>
    <row r="232" spans="1:4" ht="14.25">
      <c r="A232" s="206" t="s">
        <v>486</v>
      </c>
      <c r="B232" s="210">
        <f>SUM(B233:B237)</f>
        <v>512</v>
      </c>
      <c r="C232" s="199">
        <f t="shared" si="3"/>
        <v>512</v>
      </c>
      <c r="D232" s="211">
        <f>SUM(D233:D237)</f>
        <v>0</v>
      </c>
    </row>
    <row r="233" spans="1:4" ht="14.25">
      <c r="A233" s="205" t="s">
        <v>355</v>
      </c>
      <c r="B233" s="201">
        <f>562-150-50</f>
        <v>362</v>
      </c>
      <c r="C233" s="199">
        <f t="shared" si="3"/>
        <v>362</v>
      </c>
      <c r="D233" s="202"/>
    </row>
    <row r="234" spans="1:4" ht="14.25">
      <c r="A234" s="203" t="s">
        <v>356</v>
      </c>
      <c r="B234" s="201">
        <v>150</v>
      </c>
      <c r="C234" s="199">
        <f t="shared" si="3"/>
        <v>150</v>
      </c>
      <c r="D234" s="202"/>
    </row>
    <row r="235" spans="1:4" ht="14.25">
      <c r="A235" s="203" t="s">
        <v>357</v>
      </c>
      <c r="B235" s="201"/>
      <c r="C235" s="199">
        <f t="shared" si="3"/>
        <v>0</v>
      </c>
      <c r="D235" s="202"/>
    </row>
    <row r="236" spans="1:4" ht="14.25">
      <c r="A236" s="203" t="s">
        <v>364</v>
      </c>
      <c r="B236" s="201"/>
      <c r="C236" s="199">
        <f t="shared" si="3"/>
        <v>0</v>
      </c>
      <c r="D236" s="202"/>
    </row>
    <row r="237" spans="1:4" ht="14.25">
      <c r="A237" s="204" t="s">
        <v>487</v>
      </c>
      <c r="B237" s="201"/>
      <c r="C237" s="199">
        <f t="shared" si="3"/>
        <v>0</v>
      </c>
      <c r="D237" s="202"/>
    </row>
    <row r="238" spans="1:4" ht="14.25">
      <c r="A238" s="206" t="s">
        <v>488</v>
      </c>
      <c r="B238" s="201">
        <f>SUM(B239:B243)</f>
        <v>368</v>
      </c>
      <c r="C238" s="199">
        <f t="shared" si="3"/>
        <v>342</v>
      </c>
      <c r="D238" s="202">
        <f>SUM(D239:D243)</f>
        <v>26</v>
      </c>
    </row>
    <row r="239" spans="1:4" ht="14.25">
      <c r="A239" s="204" t="s">
        <v>355</v>
      </c>
      <c r="B239" s="201">
        <v>160</v>
      </c>
      <c r="C239" s="199">
        <f t="shared" si="3"/>
        <v>160</v>
      </c>
      <c r="D239" s="202"/>
    </row>
    <row r="240" spans="1:4" ht="14.25">
      <c r="A240" s="203" t="s">
        <v>356</v>
      </c>
      <c r="B240" s="201">
        <f>75+80</f>
        <v>155</v>
      </c>
      <c r="C240" s="199">
        <f t="shared" si="3"/>
        <v>155</v>
      </c>
      <c r="D240" s="202"/>
    </row>
    <row r="241" spans="1:4" ht="14.25">
      <c r="A241" s="203" t="s">
        <v>357</v>
      </c>
      <c r="B241" s="201"/>
      <c r="C241" s="199">
        <f t="shared" si="3"/>
        <v>0</v>
      </c>
      <c r="D241" s="202"/>
    </row>
    <row r="242" spans="1:4" ht="14.25">
      <c r="A242" s="203" t="s">
        <v>364</v>
      </c>
      <c r="B242" s="201"/>
      <c r="C242" s="199">
        <f t="shared" si="3"/>
        <v>0</v>
      </c>
      <c r="D242" s="202"/>
    </row>
    <row r="243" spans="1:4" ht="14.25">
      <c r="A243" s="204" t="s">
        <v>489</v>
      </c>
      <c r="B243" s="201">
        <v>53</v>
      </c>
      <c r="C243" s="199">
        <f t="shared" si="3"/>
        <v>27</v>
      </c>
      <c r="D243" s="202">
        <v>26</v>
      </c>
    </row>
    <row r="244" spans="1:4" ht="14.25">
      <c r="A244" s="206" t="s">
        <v>490</v>
      </c>
      <c r="B244" s="201">
        <f>SUM(B245:B249)</f>
        <v>60</v>
      </c>
      <c r="C244" s="199">
        <f t="shared" si="3"/>
        <v>60</v>
      </c>
      <c r="D244" s="202">
        <f>SUM(D245:D249)</f>
        <v>0</v>
      </c>
    </row>
    <row r="245" spans="1:4" ht="14.25">
      <c r="A245" s="204" t="s">
        <v>355</v>
      </c>
      <c r="B245" s="201"/>
      <c r="C245" s="199">
        <f t="shared" si="3"/>
        <v>0</v>
      </c>
      <c r="D245" s="202"/>
    </row>
    <row r="246" spans="1:4" ht="14.25">
      <c r="A246" s="205" t="s">
        <v>356</v>
      </c>
      <c r="B246" s="201"/>
      <c r="C246" s="199">
        <f t="shared" si="3"/>
        <v>0</v>
      </c>
      <c r="D246" s="202"/>
    </row>
    <row r="247" spans="1:4" ht="14.25">
      <c r="A247" s="203" t="s">
        <v>357</v>
      </c>
      <c r="B247" s="201"/>
      <c r="C247" s="199">
        <f t="shared" si="3"/>
        <v>0</v>
      </c>
      <c r="D247" s="202"/>
    </row>
    <row r="248" spans="1:4" ht="14.25">
      <c r="A248" s="203" t="s">
        <v>364</v>
      </c>
      <c r="B248" s="201"/>
      <c r="C248" s="199">
        <f t="shared" si="3"/>
        <v>0</v>
      </c>
      <c r="D248" s="202"/>
    </row>
    <row r="249" spans="1:4" ht="14.25">
      <c r="A249" s="203" t="s">
        <v>491</v>
      </c>
      <c r="B249" s="201">
        <v>60</v>
      </c>
      <c r="C249" s="199">
        <f t="shared" si="3"/>
        <v>60</v>
      </c>
      <c r="D249" s="202"/>
    </row>
    <row r="250" spans="1:4" ht="14.25">
      <c r="A250" s="206" t="s">
        <v>492</v>
      </c>
      <c r="B250" s="201">
        <f>SUM(B251:B255)</f>
        <v>159</v>
      </c>
      <c r="C250" s="199">
        <f t="shared" si="3"/>
        <v>159</v>
      </c>
      <c r="D250" s="202">
        <f>SUM(D251:D255)</f>
        <v>0</v>
      </c>
    </row>
    <row r="251" spans="1:4" ht="14.25">
      <c r="A251" s="204" t="s">
        <v>355</v>
      </c>
      <c r="B251" s="201">
        <f>103+26</f>
        <v>129</v>
      </c>
      <c r="C251" s="199">
        <f t="shared" si="3"/>
        <v>129</v>
      </c>
      <c r="D251" s="202"/>
    </row>
    <row r="252" spans="1:4" ht="14.25">
      <c r="A252" s="204" t="s">
        <v>356</v>
      </c>
      <c r="B252" s="201"/>
      <c r="C252" s="199">
        <f t="shared" si="3"/>
        <v>0</v>
      </c>
      <c r="D252" s="202"/>
    </row>
    <row r="253" spans="1:4" ht="14.25">
      <c r="A253" s="203" t="s">
        <v>357</v>
      </c>
      <c r="B253" s="201"/>
      <c r="C253" s="199">
        <f t="shared" si="3"/>
        <v>0</v>
      </c>
      <c r="D253" s="202"/>
    </row>
    <row r="254" spans="1:4" ht="14.25">
      <c r="A254" s="203" t="s">
        <v>364</v>
      </c>
      <c r="B254" s="201"/>
      <c r="C254" s="199">
        <f t="shared" si="3"/>
        <v>0</v>
      </c>
      <c r="D254" s="202"/>
    </row>
    <row r="255" spans="1:4" ht="14.25">
      <c r="A255" s="203" t="s">
        <v>493</v>
      </c>
      <c r="B255" s="201">
        <v>30</v>
      </c>
      <c r="C255" s="199">
        <f t="shared" si="3"/>
        <v>30</v>
      </c>
      <c r="D255" s="202"/>
    </row>
    <row r="256" spans="1:4" ht="14.25">
      <c r="A256" s="206" t="s">
        <v>494</v>
      </c>
      <c r="B256" s="201">
        <f>SUM(B257:B258)</f>
        <v>10994</v>
      </c>
      <c r="C256" s="199">
        <f t="shared" si="3"/>
        <v>10908</v>
      </c>
      <c r="D256" s="202">
        <f>SUM(D257:D258)</f>
        <v>86</v>
      </c>
    </row>
    <row r="257" spans="1:4" ht="14.25">
      <c r="A257" s="204" t="s">
        <v>495</v>
      </c>
      <c r="B257" s="201">
        <v>100</v>
      </c>
      <c r="C257" s="199">
        <f t="shared" si="3"/>
        <v>100</v>
      </c>
      <c r="D257" s="202"/>
    </row>
    <row r="258" spans="1:4" ht="14.25">
      <c r="A258" s="204" t="s">
        <v>496</v>
      </c>
      <c r="B258" s="201">
        <f>6105+3000+2953-1268+104</f>
        <v>10894</v>
      </c>
      <c r="C258" s="199">
        <f t="shared" si="3"/>
        <v>10808</v>
      </c>
      <c r="D258" s="202">
        <v>86</v>
      </c>
    </row>
    <row r="259" spans="1:4" ht="14.25">
      <c r="A259" s="197" t="s">
        <v>497</v>
      </c>
      <c r="B259" s="201">
        <f>SUM(B260:B261)</f>
        <v>0</v>
      </c>
      <c r="C259" s="199">
        <f t="shared" si="3"/>
        <v>0</v>
      </c>
      <c r="D259" s="202">
        <f>SUM(D260:D261)</f>
        <v>0</v>
      </c>
    </row>
    <row r="260" spans="1:4" ht="14.25">
      <c r="A260" s="203" t="s">
        <v>498</v>
      </c>
      <c r="B260" s="201"/>
      <c r="C260" s="199">
        <f t="shared" si="3"/>
        <v>0</v>
      </c>
      <c r="D260" s="202"/>
    </row>
    <row r="261" spans="1:4" ht="14.25">
      <c r="A261" s="203" t="s">
        <v>499</v>
      </c>
      <c r="B261" s="201"/>
      <c r="C261" s="199">
        <f t="shared" si="3"/>
        <v>0</v>
      </c>
      <c r="D261" s="202"/>
    </row>
    <row r="262" spans="1:4" ht="14.25">
      <c r="A262" s="197" t="s">
        <v>500</v>
      </c>
      <c r="B262" s="201">
        <f>SUM(B263,B272)</f>
        <v>2022</v>
      </c>
      <c r="C262" s="199">
        <f t="shared" si="3"/>
        <v>1946</v>
      </c>
      <c r="D262" s="202">
        <f>SUM(D263,D272)</f>
        <v>76</v>
      </c>
    </row>
    <row r="263" spans="1:4" ht="14.25">
      <c r="A263" s="206" t="s">
        <v>501</v>
      </c>
      <c r="B263" s="201">
        <f>SUM(B264:B271)</f>
        <v>2022</v>
      </c>
      <c r="C263" s="199">
        <f aca="true" t="shared" si="4" ref="C263:C326">B263-D263</f>
        <v>1946</v>
      </c>
      <c r="D263" s="202">
        <f>SUM(D264:D271)</f>
        <v>76</v>
      </c>
    </row>
    <row r="264" spans="1:4" ht="14.25">
      <c r="A264" s="204" t="s">
        <v>502</v>
      </c>
      <c r="B264" s="201"/>
      <c r="C264" s="199">
        <f t="shared" si="4"/>
        <v>0</v>
      </c>
      <c r="D264" s="202"/>
    </row>
    <row r="265" spans="1:4" ht="14.25">
      <c r="A265" s="203" t="s">
        <v>503</v>
      </c>
      <c r="B265" s="201"/>
      <c r="C265" s="199">
        <f t="shared" si="4"/>
        <v>0</v>
      </c>
      <c r="D265" s="202"/>
    </row>
    <row r="266" spans="1:4" ht="14.25">
      <c r="A266" s="203" t="s">
        <v>504</v>
      </c>
      <c r="B266" s="201">
        <v>2022</v>
      </c>
      <c r="C266" s="199">
        <f t="shared" si="4"/>
        <v>1946</v>
      </c>
      <c r="D266" s="202">
        <v>76</v>
      </c>
    </row>
    <row r="267" spans="1:4" ht="14.25">
      <c r="A267" s="203" t="s">
        <v>505</v>
      </c>
      <c r="B267" s="201"/>
      <c r="C267" s="199">
        <f t="shared" si="4"/>
        <v>0</v>
      </c>
      <c r="D267" s="202"/>
    </row>
    <row r="268" spans="1:4" ht="14.25">
      <c r="A268" s="204" t="s">
        <v>506</v>
      </c>
      <c r="B268" s="201"/>
      <c r="C268" s="199">
        <f t="shared" si="4"/>
        <v>0</v>
      </c>
      <c r="D268" s="202"/>
    </row>
    <row r="269" spans="1:4" ht="14.25">
      <c r="A269" s="204" t="s">
        <v>507</v>
      </c>
      <c r="B269" s="201"/>
      <c r="C269" s="199">
        <f t="shared" si="4"/>
        <v>0</v>
      </c>
      <c r="D269" s="202"/>
    </row>
    <row r="270" spans="1:4" ht="14.25">
      <c r="A270" s="204" t="s">
        <v>508</v>
      </c>
      <c r="B270" s="201"/>
      <c r="C270" s="199">
        <f t="shared" si="4"/>
        <v>0</v>
      </c>
      <c r="D270" s="202"/>
    </row>
    <row r="271" spans="1:4" ht="14.25">
      <c r="A271" s="204" t="s">
        <v>509</v>
      </c>
      <c r="B271" s="201"/>
      <c r="C271" s="199">
        <f t="shared" si="4"/>
        <v>0</v>
      </c>
      <c r="D271" s="202"/>
    </row>
    <row r="272" spans="1:4" ht="14.25">
      <c r="A272" s="206" t="s">
        <v>510</v>
      </c>
      <c r="B272" s="201"/>
      <c r="C272" s="199">
        <f t="shared" si="4"/>
        <v>0</v>
      </c>
      <c r="D272" s="202"/>
    </row>
    <row r="273" spans="1:4" ht="14.25">
      <c r="A273" s="197" t="s">
        <v>511</v>
      </c>
      <c r="B273" s="201">
        <f>SUM(B274,B284,B306,B313,B325,B334,B348,B357,B366,B374,B382,B391)</f>
        <v>53161</v>
      </c>
      <c r="C273" s="199">
        <f t="shared" si="4"/>
        <v>49291</v>
      </c>
      <c r="D273" s="202">
        <f>SUM(D274,D284,D306,D313,D325,D334,D348,D357,D366,D374,D382,D391)</f>
        <v>3870</v>
      </c>
    </row>
    <row r="274" spans="1:4" ht="14.25">
      <c r="A274" s="200" t="s">
        <v>512</v>
      </c>
      <c r="B274" s="201">
        <f>SUM(B275:B283)</f>
        <v>2496</v>
      </c>
      <c r="C274" s="199">
        <f t="shared" si="4"/>
        <v>2496</v>
      </c>
      <c r="D274" s="202">
        <f>SUM(D275:D283)</f>
        <v>0</v>
      </c>
    </row>
    <row r="275" spans="1:4" ht="14.25">
      <c r="A275" s="203" t="s">
        <v>513</v>
      </c>
      <c r="B275" s="201">
        <v>676</v>
      </c>
      <c r="C275" s="199">
        <f t="shared" si="4"/>
        <v>676</v>
      </c>
      <c r="D275" s="202"/>
    </row>
    <row r="276" spans="1:4" ht="14.25">
      <c r="A276" s="203" t="s">
        <v>514</v>
      </c>
      <c r="B276" s="201"/>
      <c r="C276" s="199">
        <f t="shared" si="4"/>
        <v>0</v>
      </c>
      <c r="D276" s="202"/>
    </row>
    <row r="277" spans="1:4" ht="14.25">
      <c r="A277" s="204" t="s">
        <v>515</v>
      </c>
      <c r="B277" s="201">
        <v>1718</v>
      </c>
      <c r="C277" s="199">
        <f t="shared" si="4"/>
        <v>1718</v>
      </c>
      <c r="D277" s="202"/>
    </row>
    <row r="278" spans="1:4" ht="14.25">
      <c r="A278" s="204" t="s">
        <v>516</v>
      </c>
      <c r="B278" s="201"/>
      <c r="C278" s="199">
        <f t="shared" si="4"/>
        <v>0</v>
      </c>
      <c r="D278" s="202"/>
    </row>
    <row r="279" spans="1:4" ht="14.25">
      <c r="A279" s="204" t="s">
        <v>517</v>
      </c>
      <c r="B279" s="201"/>
      <c r="C279" s="199">
        <f t="shared" si="4"/>
        <v>0</v>
      </c>
      <c r="D279" s="202"/>
    </row>
    <row r="280" spans="1:4" ht="14.25">
      <c r="A280" s="203" t="s">
        <v>518</v>
      </c>
      <c r="B280" s="201"/>
      <c r="C280" s="199">
        <f t="shared" si="4"/>
        <v>0</v>
      </c>
      <c r="D280" s="202"/>
    </row>
    <row r="281" spans="1:4" ht="14.25">
      <c r="A281" s="203" t="s">
        <v>519</v>
      </c>
      <c r="B281" s="201"/>
      <c r="C281" s="199">
        <f t="shared" si="4"/>
        <v>0</v>
      </c>
      <c r="D281" s="202"/>
    </row>
    <row r="282" spans="1:4" ht="14.25">
      <c r="A282" s="203" t="s">
        <v>520</v>
      </c>
      <c r="B282" s="201"/>
      <c r="C282" s="199">
        <f t="shared" si="4"/>
        <v>0</v>
      </c>
      <c r="D282" s="202"/>
    </row>
    <row r="283" spans="1:4" ht="14.25">
      <c r="A283" s="204" t="s">
        <v>521</v>
      </c>
      <c r="B283" s="201">
        <v>102</v>
      </c>
      <c r="C283" s="199">
        <f t="shared" si="4"/>
        <v>102</v>
      </c>
      <c r="D283" s="202"/>
    </row>
    <row r="284" spans="1:4" ht="14.25">
      <c r="A284" s="206" t="s">
        <v>522</v>
      </c>
      <c r="B284" s="201">
        <f>SUM(B285:B305)</f>
        <v>41005</v>
      </c>
      <c r="C284" s="199">
        <f t="shared" si="4"/>
        <v>37948</v>
      </c>
      <c r="D284" s="202">
        <f>SUM(D285:D305)</f>
        <v>3057</v>
      </c>
    </row>
    <row r="285" spans="1:4" ht="14.25">
      <c r="A285" s="204" t="s">
        <v>355</v>
      </c>
      <c r="B285" s="201">
        <v>25590</v>
      </c>
      <c r="C285" s="199">
        <f t="shared" si="4"/>
        <v>25590</v>
      </c>
      <c r="D285" s="202"/>
    </row>
    <row r="286" spans="1:4" ht="14.25">
      <c r="A286" s="205" t="s">
        <v>356</v>
      </c>
      <c r="B286" s="201">
        <v>5068</v>
      </c>
      <c r="C286" s="199">
        <f t="shared" si="4"/>
        <v>4699</v>
      </c>
      <c r="D286" s="202">
        <v>369</v>
      </c>
    </row>
    <row r="287" spans="1:4" ht="14.25">
      <c r="A287" s="203" t="s">
        <v>357</v>
      </c>
      <c r="B287" s="201"/>
      <c r="C287" s="199">
        <f t="shared" si="4"/>
        <v>0</v>
      </c>
      <c r="D287" s="202"/>
    </row>
    <row r="288" spans="1:4" ht="14.25">
      <c r="A288" s="203" t="s">
        <v>523</v>
      </c>
      <c r="B288" s="201"/>
      <c r="C288" s="199">
        <f t="shared" si="4"/>
        <v>0</v>
      </c>
      <c r="D288" s="202"/>
    </row>
    <row r="289" spans="1:4" ht="14.25">
      <c r="A289" s="203" t="s">
        <v>524</v>
      </c>
      <c r="B289" s="201"/>
      <c r="C289" s="199">
        <f t="shared" si="4"/>
        <v>0</v>
      </c>
      <c r="D289" s="202"/>
    </row>
    <row r="290" spans="1:4" ht="14.25">
      <c r="A290" s="204" t="s">
        <v>525</v>
      </c>
      <c r="B290" s="201">
        <v>200</v>
      </c>
      <c r="C290" s="199">
        <f t="shared" si="4"/>
        <v>153</v>
      </c>
      <c r="D290" s="202">
        <v>47</v>
      </c>
    </row>
    <row r="291" spans="1:4" ht="14.25">
      <c r="A291" s="204" t="s">
        <v>526</v>
      </c>
      <c r="B291" s="201"/>
      <c r="C291" s="199">
        <f t="shared" si="4"/>
        <v>0</v>
      </c>
      <c r="D291" s="202"/>
    </row>
    <row r="292" spans="1:4" ht="14.25">
      <c r="A292" s="204" t="s">
        <v>527</v>
      </c>
      <c r="B292" s="201">
        <v>426</v>
      </c>
      <c r="C292" s="199">
        <f t="shared" si="4"/>
        <v>100</v>
      </c>
      <c r="D292" s="202">
        <v>326</v>
      </c>
    </row>
    <row r="293" spans="1:4" ht="14.25">
      <c r="A293" s="203" t="s">
        <v>528</v>
      </c>
      <c r="B293" s="201"/>
      <c r="C293" s="199">
        <f t="shared" si="4"/>
        <v>0</v>
      </c>
      <c r="D293" s="202"/>
    </row>
    <row r="294" spans="1:4" ht="14.25">
      <c r="A294" s="203" t="s">
        <v>529</v>
      </c>
      <c r="B294" s="201"/>
      <c r="C294" s="199">
        <f t="shared" si="4"/>
        <v>0</v>
      </c>
      <c r="D294" s="202"/>
    </row>
    <row r="295" spans="1:4" ht="14.25">
      <c r="A295" s="203" t="s">
        <v>530</v>
      </c>
      <c r="B295" s="201">
        <v>489</v>
      </c>
      <c r="C295" s="199">
        <f t="shared" si="4"/>
        <v>413</v>
      </c>
      <c r="D295" s="202">
        <v>76</v>
      </c>
    </row>
    <row r="296" spans="1:4" ht="14.25">
      <c r="A296" s="204" t="s">
        <v>531</v>
      </c>
      <c r="B296" s="201">
        <v>9079</v>
      </c>
      <c r="C296" s="199">
        <f t="shared" si="4"/>
        <v>6971</v>
      </c>
      <c r="D296" s="202">
        <v>2108</v>
      </c>
    </row>
    <row r="297" spans="1:4" ht="14.25">
      <c r="A297" s="204" t="s">
        <v>532</v>
      </c>
      <c r="B297" s="201"/>
      <c r="C297" s="199">
        <f t="shared" si="4"/>
        <v>0</v>
      </c>
      <c r="D297" s="202"/>
    </row>
    <row r="298" spans="1:4" ht="14.25">
      <c r="A298" s="204" t="s">
        <v>533</v>
      </c>
      <c r="B298" s="201">
        <v>55</v>
      </c>
      <c r="C298" s="199">
        <f t="shared" si="4"/>
        <v>17</v>
      </c>
      <c r="D298" s="202">
        <v>38</v>
      </c>
    </row>
    <row r="299" spans="1:4" ht="14.25">
      <c r="A299" s="205" t="s">
        <v>534</v>
      </c>
      <c r="B299" s="201">
        <v>98</v>
      </c>
      <c r="C299" s="199">
        <f t="shared" si="4"/>
        <v>5</v>
      </c>
      <c r="D299" s="202">
        <v>93</v>
      </c>
    </row>
    <row r="300" spans="1:4" ht="14.25">
      <c r="A300" s="203" t="s">
        <v>535</v>
      </c>
      <c r="B300" s="201"/>
      <c r="C300" s="199">
        <f t="shared" si="4"/>
        <v>0</v>
      </c>
      <c r="D300" s="202"/>
    </row>
    <row r="301" spans="1:4" ht="14.25">
      <c r="A301" s="203" t="s">
        <v>536</v>
      </c>
      <c r="B301" s="201"/>
      <c r="C301" s="199">
        <f t="shared" si="4"/>
        <v>0</v>
      </c>
      <c r="D301" s="202"/>
    </row>
    <row r="302" spans="1:4" ht="14.25">
      <c r="A302" s="203" t="s">
        <v>537</v>
      </c>
      <c r="B302" s="201"/>
      <c r="C302" s="199">
        <f t="shared" si="4"/>
        <v>0</v>
      </c>
      <c r="D302" s="202"/>
    </row>
    <row r="303" spans="1:4" ht="14.25">
      <c r="A303" s="204" t="s">
        <v>398</v>
      </c>
      <c r="B303" s="201"/>
      <c r="C303" s="199">
        <f t="shared" si="4"/>
        <v>0</v>
      </c>
      <c r="D303" s="202"/>
    </row>
    <row r="304" spans="1:4" ht="14.25">
      <c r="A304" s="204" t="s">
        <v>364</v>
      </c>
      <c r="B304" s="201"/>
      <c r="C304" s="199">
        <f t="shared" si="4"/>
        <v>0</v>
      </c>
      <c r="D304" s="202"/>
    </row>
    <row r="305" spans="1:4" ht="14.25">
      <c r="A305" s="204" t="s">
        <v>538</v>
      </c>
      <c r="B305" s="201"/>
      <c r="C305" s="199">
        <f t="shared" si="4"/>
        <v>0</v>
      </c>
      <c r="D305" s="202"/>
    </row>
    <row r="306" spans="1:4" ht="14.25">
      <c r="A306" s="200" t="s">
        <v>539</v>
      </c>
      <c r="B306" s="201">
        <f>SUM(B307:B312)</f>
        <v>149</v>
      </c>
      <c r="C306" s="199">
        <f t="shared" si="4"/>
        <v>149</v>
      </c>
      <c r="D306" s="202">
        <f>SUM(D307:D312)</f>
        <v>0</v>
      </c>
    </row>
    <row r="307" spans="1:4" ht="14.25">
      <c r="A307" s="203" t="s">
        <v>355</v>
      </c>
      <c r="B307" s="201"/>
      <c r="C307" s="199">
        <f t="shared" si="4"/>
        <v>0</v>
      </c>
      <c r="D307" s="202"/>
    </row>
    <row r="308" spans="1:4" ht="14.25">
      <c r="A308" s="203" t="s">
        <v>356</v>
      </c>
      <c r="B308" s="201"/>
      <c r="C308" s="199">
        <f t="shared" si="4"/>
        <v>0</v>
      </c>
      <c r="D308" s="202"/>
    </row>
    <row r="309" spans="1:4" ht="14.25">
      <c r="A309" s="204" t="s">
        <v>357</v>
      </c>
      <c r="B309" s="201"/>
      <c r="C309" s="199">
        <f t="shared" si="4"/>
        <v>0</v>
      </c>
      <c r="D309" s="202"/>
    </row>
    <row r="310" spans="1:4" ht="14.25">
      <c r="A310" s="204" t="s">
        <v>540</v>
      </c>
      <c r="B310" s="201">
        <v>149</v>
      </c>
      <c r="C310" s="199">
        <f t="shared" si="4"/>
        <v>149</v>
      </c>
      <c r="D310" s="202"/>
    </row>
    <row r="311" spans="1:4" ht="14.25">
      <c r="A311" s="204" t="s">
        <v>364</v>
      </c>
      <c r="B311" s="201"/>
      <c r="C311" s="199">
        <f t="shared" si="4"/>
        <v>0</v>
      </c>
      <c r="D311" s="202"/>
    </row>
    <row r="312" spans="1:4" ht="14.25">
      <c r="A312" s="205" t="s">
        <v>541</v>
      </c>
      <c r="B312" s="201"/>
      <c r="C312" s="199">
        <f t="shared" si="4"/>
        <v>0</v>
      </c>
      <c r="D312" s="202"/>
    </row>
    <row r="313" spans="1:4" ht="14.25">
      <c r="A313" s="200" t="s">
        <v>542</v>
      </c>
      <c r="B313" s="201">
        <f>SUM(B314:B324)</f>
        <v>2534</v>
      </c>
      <c r="C313" s="199">
        <f t="shared" si="4"/>
        <v>2534</v>
      </c>
      <c r="D313" s="202">
        <f>SUM(D314:D324)</f>
        <v>0</v>
      </c>
    </row>
    <row r="314" spans="1:4" ht="14.25">
      <c r="A314" s="203" t="s">
        <v>355</v>
      </c>
      <c r="B314" s="201">
        <v>1647</v>
      </c>
      <c r="C314" s="199">
        <f t="shared" si="4"/>
        <v>1647</v>
      </c>
      <c r="D314" s="202"/>
    </row>
    <row r="315" spans="1:4" ht="14.25">
      <c r="A315" s="203" t="s">
        <v>356</v>
      </c>
      <c r="B315" s="201">
        <v>887</v>
      </c>
      <c r="C315" s="199">
        <f t="shared" si="4"/>
        <v>887</v>
      </c>
      <c r="D315" s="202"/>
    </row>
    <row r="316" spans="1:4" ht="14.25">
      <c r="A316" s="204" t="s">
        <v>357</v>
      </c>
      <c r="B316" s="201"/>
      <c r="C316" s="199">
        <f t="shared" si="4"/>
        <v>0</v>
      </c>
      <c r="D316" s="202"/>
    </row>
    <row r="317" spans="1:4" ht="14.25">
      <c r="A317" s="204" t="s">
        <v>543</v>
      </c>
      <c r="B317" s="201"/>
      <c r="C317" s="199">
        <f t="shared" si="4"/>
        <v>0</v>
      </c>
      <c r="D317" s="202"/>
    </row>
    <row r="318" spans="1:4" ht="14.25">
      <c r="A318" s="204" t="s">
        <v>544</v>
      </c>
      <c r="B318" s="201"/>
      <c r="C318" s="199">
        <f t="shared" si="4"/>
        <v>0</v>
      </c>
      <c r="D318" s="202"/>
    </row>
    <row r="319" spans="1:4" ht="14.25">
      <c r="A319" s="203" t="s">
        <v>545</v>
      </c>
      <c r="B319" s="201"/>
      <c r="C319" s="199">
        <f t="shared" si="4"/>
        <v>0</v>
      </c>
      <c r="D319" s="202"/>
    </row>
    <row r="320" spans="1:4" ht="14.25">
      <c r="A320" s="203" t="s">
        <v>546</v>
      </c>
      <c r="B320" s="201"/>
      <c r="C320" s="199">
        <f t="shared" si="4"/>
        <v>0</v>
      </c>
      <c r="D320" s="202"/>
    </row>
    <row r="321" spans="1:4" ht="14.25">
      <c r="A321" s="203" t="s">
        <v>547</v>
      </c>
      <c r="B321" s="201"/>
      <c r="C321" s="199">
        <f t="shared" si="4"/>
        <v>0</v>
      </c>
      <c r="D321" s="202"/>
    </row>
    <row r="322" spans="1:4" ht="14.25">
      <c r="A322" s="204" t="s">
        <v>548</v>
      </c>
      <c r="B322" s="201"/>
      <c r="C322" s="199">
        <f t="shared" si="4"/>
        <v>0</v>
      </c>
      <c r="D322" s="202"/>
    </row>
    <row r="323" spans="1:4" ht="14.25">
      <c r="A323" s="204" t="s">
        <v>364</v>
      </c>
      <c r="B323" s="201"/>
      <c r="C323" s="199">
        <f t="shared" si="4"/>
        <v>0</v>
      </c>
      <c r="D323" s="202"/>
    </row>
    <row r="324" spans="1:4" ht="14.25">
      <c r="A324" s="204" t="s">
        <v>549</v>
      </c>
      <c r="B324" s="201"/>
      <c r="C324" s="199">
        <f t="shared" si="4"/>
        <v>0</v>
      </c>
      <c r="D324" s="202"/>
    </row>
    <row r="325" spans="1:4" ht="14.25">
      <c r="A325" s="197" t="s">
        <v>550</v>
      </c>
      <c r="B325" s="201">
        <f>SUM(B326:B333)</f>
        <v>3882</v>
      </c>
      <c r="C325" s="199">
        <f t="shared" si="4"/>
        <v>3162</v>
      </c>
      <c r="D325" s="202">
        <f>SUM(D326:D333)</f>
        <v>720</v>
      </c>
    </row>
    <row r="326" spans="1:4" ht="14.25">
      <c r="A326" s="203" t="s">
        <v>355</v>
      </c>
      <c r="B326" s="201">
        <f>2147-100</f>
        <v>2047</v>
      </c>
      <c r="C326" s="199">
        <f t="shared" si="4"/>
        <v>2047</v>
      </c>
      <c r="D326" s="202"/>
    </row>
    <row r="327" spans="1:4" ht="14.25">
      <c r="A327" s="203" t="s">
        <v>356</v>
      </c>
      <c r="B327" s="201">
        <v>999</v>
      </c>
      <c r="C327" s="199">
        <f aca="true" t="shared" si="5" ref="C327:C390">B327-D327</f>
        <v>915</v>
      </c>
      <c r="D327" s="202">
        <v>84</v>
      </c>
    </row>
    <row r="328" spans="1:4" ht="14.25">
      <c r="A328" s="203" t="s">
        <v>357</v>
      </c>
      <c r="B328" s="201"/>
      <c r="C328" s="199">
        <f t="shared" si="5"/>
        <v>0</v>
      </c>
      <c r="D328" s="202"/>
    </row>
    <row r="329" spans="1:4" ht="14.25">
      <c r="A329" s="204" t="s">
        <v>551</v>
      </c>
      <c r="B329" s="201"/>
      <c r="C329" s="199">
        <f t="shared" si="5"/>
        <v>0</v>
      </c>
      <c r="D329" s="202"/>
    </row>
    <row r="330" spans="1:4" ht="14.25">
      <c r="A330" s="204" t="s">
        <v>552</v>
      </c>
      <c r="B330" s="201">
        <v>60</v>
      </c>
      <c r="C330" s="199">
        <f t="shared" si="5"/>
        <v>60</v>
      </c>
      <c r="D330" s="202"/>
    </row>
    <row r="331" spans="1:4" ht="14.25">
      <c r="A331" s="204" t="s">
        <v>553</v>
      </c>
      <c r="B331" s="201">
        <f>836-60</f>
        <v>776</v>
      </c>
      <c r="C331" s="199">
        <f t="shared" si="5"/>
        <v>140</v>
      </c>
      <c r="D331" s="202">
        <v>636</v>
      </c>
    </row>
    <row r="332" spans="1:4" ht="14.25">
      <c r="A332" s="203" t="s">
        <v>364</v>
      </c>
      <c r="B332" s="201"/>
      <c r="C332" s="199">
        <f t="shared" si="5"/>
        <v>0</v>
      </c>
      <c r="D332" s="202"/>
    </row>
    <row r="333" spans="1:4" ht="14.25">
      <c r="A333" s="203" t="s">
        <v>554</v>
      </c>
      <c r="B333" s="201"/>
      <c r="C333" s="199">
        <f t="shared" si="5"/>
        <v>0</v>
      </c>
      <c r="D333" s="202"/>
    </row>
    <row r="334" spans="1:4" ht="14.25">
      <c r="A334" s="200" t="s">
        <v>555</v>
      </c>
      <c r="B334" s="201">
        <f>SUM(B335:B347)</f>
        <v>1072</v>
      </c>
      <c r="C334" s="199">
        <f t="shared" si="5"/>
        <v>1031</v>
      </c>
      <c r="D334" s="202">
        <f>SUM(D335:D347)</f>
        <v>41</v>
      </c>
    </row>
    <row r="335" spans="1:4" ht="14.25">
      <c r="A335" s="204" t="s">
        <v>355</v>
      </c>
      <c r="B335" s="201">
        <v>686</v>
      </c>
      <c r="C335" s="199">
        <f t="shared" si="5"/>
        <v>686</v>
      </c>
      <c r="D335" s="202"/>
    </row>
    <row r="336" spans="1:4" ht="14.25">
      <c r="A336" s="204" t="s">
        <v>356</v>
      </c>
      <c r="B336" s="201">
        <v>326</v>
      </c>
      <c r="C336" s="199">
        <f t="shared" si="5"/>
        <v>296</v>
      </c>
      <c r="D336" s="202">
        <v>30</v>
      </c>
    </row>
    <row r="337" spans="1:4" ht="14.25">
      <c r="A337" s="204" t="s">
        <v>357</v>
      </c>
      <c r="B337" s="201"/>
      <c r="C337" s="199">
        <f t="shared" si="5"/>
        <v>0</v>
      </c>
      <c r="D337" s="202"/>
    </row>
    <row r="338" spans="1:4" ht="14.25">
      <c r="A338" s="205" t="s">
        <v>556</v>
      </c>
      <c r="B338" s="201"/>
      <c r="C338" s="199">
        <f t="shared" si="5"/>
        <v>0</v>
      </c>
      <c r="D338" s="202"/>
    </row>
    <row r="339" spans="1:4" ht="14.25">
      <c r="A339" s="203" t="s">
        <v>557</v>
      </c>
      <c r="B339" s="201"/>
      <c r="C339" s="199">
        <f t="shared" si="5"/>
        <v>0</v>
      </c>
      <c r="D339" s="202"/>
    </row>
    <row r="340" spans="1:4" ht="14.25">
      <c r="A340" s="203" t="s">
        <v>558</v>
      </c>
      <c r="B340" s="201"/>
      <c r="C340" s="199">
        <f t="shared" si="5"/>
        <v>0</v>
      </c>
      <c r="D340" s="202"/>
    </row>
    <row r="341" spans="1:4" ht="14.25">
      <c r="A341" s="203" t="s">
        <v>559</v>
      </c>
      <c r="B341" s="201">
        <v>60</v>
      </c>
      <c r="C341" s="199">
        <f t="shared" si="5"/>
        <v>49</v>
      </c>
      <c r="D341" s="202">
        <v>11</v>
      </c>
    </row>
    <row r="342" spans="1:4" ht="14.25">
      <c r="A342" s="204" t="s">
        <v>560</v>
      </c>
      <c r="B342" s="201"/>
      <c r="C342" s="199">
        <f t="shared" si="5"/>
        <v>0</v>
      </c>
      <c r="D342" s="202"/>
    </row>
    <row r="343" spans="1:4" ht="14.25">
      <c r="A343" s="204" t="s">
        <v>561</v>
      </c>
      <c r="B343" s="201"/>
      <c r="C343" s="199">
        <f t="shared" si="5"/>
        <v>0</v>
      </c>
      <c r="D343" s="202"/>
    </row>
    <row r="344" spans="1:4" ht="14.25">
      <c r="A344" s="204" t="s">
        <v>562</v>
      </c>
      <c r="B344" s="201"/>
      <c r="C344" s="199">
        <f t="shared" si="5"/>
        <v>0</v>
      </c>
      <c r="D344" s="202"/>
    </row>
    <row r="345" spans="1:4" ht="14.25">
      <c r="A345" s="204" t="s">
        <v>563</v>
      </c>
      <c r="B345" s="201"/>
      <c r="C345" s="199">
        <f t="shared" si="5"/>
        <v>0</v>
      </c>
      <c r="D345" s="202"/>
    </row>
    <row r="346" spans="1:4" ht="14.25">
      <c r="A346" s="204" t="s">
        <v>364</v>
      </c>
      <c r="B346" s="201"/>
      <c r="C346" s="199">
        <f t="shared" si="5"/>
        <v>0</v>
      </c>
      <c r="D346" s="202"/>
    </row>
    <row r="347" spans="1:4" ht="14.25">
      <c r="A347" s="203" t="s">
        <v>564</v>
      </c>
      <c r="B347" s="201"/>
      <c r="C347" s="199">
        <f t="shared" si="5"/>
        <v>0</v>
      </c>
      <c r="D347" s="202"/>
    </row>
    <row r="348" spans="1:4" ht="14.25">
      <c r="A348" s="200" t="s">
        <v>565</v>
      </c>
      <c r="B348" s="201">
        <f>SUM(B349:B356)</f>
        <v>0</v>
      </c>
      <c r="C348" s="199">
        <f t="shared" si="5"/>
        <v>0</v>
      </c>
      <c r="D348" s="202">
        <f>SUM(D349:D356)</f>
        <v>0</v>
      </c>
    </row>
    <row r="349" spans="1:4" ht="14.25">
      <c r="A349" s="203" t="s">
        <v>355</v>
      </c>
      <c r="B349" s="201"/>
      <c r="C349" s="199">
        <f t="shared" si="5"/>
        <v>0</v>
      </c>
      <c r="D349" s="202"/>
    </row>
    <row r="350" spans="1:4" ht="14.25">
      <c r="A350" s="204" t="s">
        <v>356</v>
      </c>
      <c r="B350" s="201"/>
      <c r="C350" s="199">
        <f t="shared" si="5"/>
        <v>0</v>
      </c>
      <c r="D350" s="202"/>
    </row>
    <row r="351" spans="1:4" ht="14.25">
      <c r="A351" s="204" t="s">
        <v>357</v>
      </c>
      <c r="B351" s="201"/>
      <c r="C351" s="199">
        <f t="shared" si="5"/>
        <v>0</v>
      </c>
      <c r="D351" s="202"/>
    </row>
    <row r="352" spans="1:4" ht="14.25">
      <c r="A352" s="204" t="s">
        <v>566</v>
      </c>
      <c r="B352" s="201"/>
      <c r="C352" s="199">
        <f t="shared" si="5"/>
        <v>0</v>
      </c>
      <c r="D352" s="202"/>
    </row>
    <row r="353" spans="1:4" ht="14.25">
      <c r="A353" s="205" t="s">
        <v>567</v>
      </c>
      <c r="B353" s="201"/>
      <c r="C353" s="199">
        <f t="shared" si="5"/>
        <v>0</v>
      </c>
      <c r="D353" s="202"/>
    </row>
    <row r="354" spans="1:4" ht="14.25">
      <c r="A354" s="203" t="s">
        <v>568</v>
      </c>
      <c r="B354" s="201"/>
      <c r="C354" s="199">
        <f t="shared" si="5"/>
        <v>0</v>
      </c>
      <c r="D354" s="202"/>
    </row>
    <row r="355" spans="1:4" ht="14.25">
      <c r="A355" s="203" t="s">
        <v>364</v>
      </c>
      <c r="B355" s="201"/>
      <c r="C355" s="199">
        <f t="shared" si="5"/>
        <v>0</v>
      </c>
      <c r="D355" s="202"/>
    </row>
    <row r="356" spans="1:4" ht="14.25">
      <c r="A356" s="203" t="s">
        <v>569</v>
      </c>
      <c r="B356" s="201"/>
      <c r="C356" s="199">
        <f t="shared" si="5"/>
        <v>0</v>
      </c>
      <c r="D356" s="202"/>
    </row>
    <row r="357" spans="1:4" ht="14.25">
      <c r="A357" s="206" t="s">
        <v>570</v>
      </c>
      <c r="B357" s="201">
        <f>SUM(B358:B365)</f>
        <v>1645</v>
      </c>
      <c r="C357" s="199">
        <f t="shared" si="5"/>
        <v>1602</v>
      </c>
      <c r="D357" s="202">
        <f>SUM(D358:D365)</f>
        <v>43</v>
      </c>
    </row>
    <row r="358" spans="1:4" ht="14.25">
      <c r="A358" s="204" t="s">
        <v>355</v>
      </c>
      <c r="B358" s="201">
        <v>950</v>
      </c>
      <c r="C358" s="199">
        <f t="shared" si="5"/>
        <v>950</v>
      </c>
      <c r="D358" s="202"/>
    </row>
    <row r="359" spans="1:4" ht="14.25">
      <c r="A359" s="204" t="s">
        <v>356</v>
      </c>
      <c r="B359" s="201">
        <v>163</v>
      </c>
      <c r="C359" s="199">
        <f t="shared" si="5"/>
        <v>163</v>
      </c>
      <c r="D359" s="202"/>
    </row>
    <row r="360" spans="1:4" ht="14.25">
      <c r="A360" s="203" t="s">
        <v>357</v>
      </c>
      <c r="B360" s="201"/>
      <c r="C360" s="199">
        <f t="shared" si="5"/>
        <v>0</v>
      </c>
      <c r="D360" s="202"/>
    </row>
    <row r="361" spans="1:4" ht="14.25">
      <c r="A361" s="203" t="s">
        <v>571</v>
      </c>
      <c r="B361" s="201">
        <f>150+157</f>
        <v>307</v>
      </c>
      <c r="C361" s="199">
        <f t="shared" si="5"/>
        <v>272</v>
      </c>
      <c r="D361" s="202">
        <v>35</v>
      </c>
    </row>
    <row r="362" spans="1:4" ht="14.25">
      <c r="A362" s="203" t="s">
        <v>572</v>
      </c>
      <c r="B362" s="201">
        <v>47</v>
      </c>
      <c r="C362" s="199">
        <f t="shared" si="5"/>
        <v>47</v>
      </c>
      <c r="D362" s="202"/>
    </row>
    <row r="363" spans="1:4" ht="14.25">
      <c r="A363" s="204" t="s">
        <v>573</v>
      </c>
      <c r="B363" s="201"/>
      <c r="C363" s="199">
        <f t="shared" si="5"/>
        <v>0</v>
      </c>
      <c r="D363" s="202"/>
    </row>
    <row r="364" spans="1:4" ht="14.25">
      <c r="A364" s="204" t="s">
        <v>364</v>
      </c>
      <c r="B364" s="201"/>
      <c r="C364" s="199">
        <f t="shared" si="5"/>
        <v>0</v>
      </c>
      <c r="D364" s="202"/>
    </row>
    <row r="365" spans="1:4" ht="14.25">
      <c r="A365" s="204" t="s">
        <v>574</v>
      </c>
      <c r="B365" s="201">
        <v>178</v>
      </c>
      <c r="C365" s="199">
        <f t="shared" si="5"/>
        <v>170</v>
      </c>
      <c r="D365" s="202">
        <v>8</v>
      </c>
    </row>
    <row r="366" spans="1:4" ht="14.25">
      <c r="A366" s="197" t="s">
        <v>575</v>
      </c>
      <c r="B366" s="201">
        <f>SUM(B367:B373)</f>
        <v>220</v>
      </c>
      <c r="C366" s="199">
        <f t="shared" si="5"/>
        <v>220</v>
      </c>
      <c r="D366" s="202">
        <f>SUM(D367:D373)</f>
        <v>0</v>
      </c>
    </row>
    <row r="367" spans="1:4" ht="14.25">
      <c r="A367" s="203" t="s">
        <v>355</v>
      </c>
      <c r="B367" s="201">
        <v>56</v>
      </c>
      <c r="C367" s="199">
        <f t="shared" si="5"/>
        <v>56</v>
      </c>
      <c r="D367" s="202"/>
    </row>
    <row r="368" spans="1:4" ht="14.25">
      <c r="A368" s="203" t="s">
        <v>356</v>
      </c>
      <c r="B368" s="201">
        <v>88</v>
      </c>
      <c r="C368" s="199">
        <f t="shared" si="5"/>
        <v>88</v>
      </c>
      <c r="D368" s="202"/>
    </row>
    <row r="369" spans="1:4" ht="14.25">
      <c r="A369" s="203" t="s">
        <v>357</v>
      </c>
      <c r="B369" s="201"/>
      <c r="C369" s="199">
        <f t="shared" si="5"/>
        <v>0</v>
      </c>
      <c r="D369" s="202"/>
    </row>
    <row r="370" spans="1:4" ht="14.25">
      <c r="A370" s="204" t="s">
        <v>576</v>
      </c>
      <c r="B370" s="201"/>
      <c r="C370" s="199">
        <f t="shared" si="5"/>
        <v>0</v>
      </c>
      <c r="D370" s="202"/>
    </row>
    <row r="371" spans="1:4" ht="14.25">
      <c r="A371" s="204" t="s">
        <v>577</v>
      </c>
      <c r="B371" s="201">
        <v>76</v>
      </c>
      <c r="C371" s="199">
        <f t="shared" si="5"/>
        <v>76</v>
      </c>
      <c r="D371" s="202"/>
    </row>
    <row r="372" spans="1:4" ht="14.25">
      <c r="A372" s="204" t="s">
        <v>364</v>
      </c>
      <c r="B372" s="201"/>
      <c r="C372" s="199">
        <f t="shared" si="5"/>
        <v>0</v>
      </c>
      <c r="D372" s="202"/>
    </row>
    <row r="373" spans="1:4" ht="14.25">
      <c r="A373" s="203" t="s">
        <v>578</v>
      </c>
      <c r="B373" s="201"/>
      <c r="C373" s="199">
        <f t="shared" si="5"/>
        <v>0</v>
      </c>
      <c r="D373" s="202"/>
    </row>
    <row r="374" spans="1:4" ht="14.25">
      <c r="A374" s="200" t="s">
        <v>579</v>
      </c>
      <c r="B374" s="201">
        <f>SUM(B375:B381)</f>
        <v>0</v>
      </c>
      <c r="C374" s="199">
        <f t="shared" si="5"/>
        <v>0</v>
      </c>
      <c r="D374" s="202">
        <f>SUM(D375:D381)</f>
        <v>0</v>
      </c>
    </row>
    <row r="375" spans="1:4" ht="14.25">
      <c r="A375" s="203" t="s">
        <v>355</v>
      </c>
      <c r="B375" s="201"/>
      <c r="C375" s="199">
        <f t="shared" si="5"/>
        <v>0</v>
      </c>
      <c r="D375" s="202"/>
    </row>
    <row r="376" spans="1:4" ht="14.25">
      <c r="A376" s="204" t="s">
        <v>356</v>
      </c>
      <c r="B376" s="201"/>
      <c r="C376" s="199">
        <f t="shared" si="5"/>
        <v>0</v>
      </c>
      <c r="D376" s="202"/>
    </row>
    <row r="377" spans="1:4" ht="14.25">
      <c r="A377" s="204" t="s">
        <v>580</v>
      </c>
      <c r="B377" s="201"/>
      <c r="C377" s="199">
        <f t="shared" si="5"/>
        <v>0</v>
      </c>
      <c r="D377" s="202"/>
    </row>
    <row r="378" spans="1:4" ht="14.25">
      <c r="A378" s="204" t="s">
        <v>581</v>
      </c>
      <c r="B378" s="201"/>
      <c r="C378" s="199">
        <f t="shared" si="5"/>
        <v>0</v>
      </c>
      <c r="D378" s="202"/>
    </row>
    <row r="379" spans="1:4" ht="14.25">
      <c r="A379" s="205" t="s">
        <v>582</v>
      </c>
      <c r="B379" s="201"/>
      <c r="C379" s="199">
        <f t="shared" si="5"/>
        <v>0</v>
      </c>
      <c r="D379" s="202"/>
    </row>
    <row r="380" spans="1:4" ht="14.25">
      <c r="A380" s="203" t="s">
        <v>535</v>
      </c>
      <c r="B380" s="201"/>
      <c r="C380" s="199">
        <f t="shared" si="5"/>
        <v>0</v>
      </c>
      <c r="D380" s="202"/>
    </row>
    <row r="381" spans="1:4" ht="14.25">
      <c r="A381" s="203" t="s">
        <v>583</v>
      </c>
      <c r="B381" s="201"/>
      <c r="C381" s="199">
        <f t="shared" si="5"/>
        <v>0</v>
      </c>
      <c r="D381" s="202"/>
    </row>
    <row r="382" spans="1:4" ht="14.25">
      <c r="A382" s="200" t="s">
        <v>584</v>
      </c>
      <c r="B382" s="201">
        <f>SUM(B383:B390)</f>
        <v>0</v>
      </c>
      <c r="C382" s="199">
        <f t="shared" si="5"/>
        <v>0</v>
      </c>
      <c r="D382" s="202">
        <f>SUM(D383:D390)</f>
        <v>0</v>
      </c>
    </row>
    <row r="383" spans="1:4" ht="14.25">
      <c r="A383" s="203" t="s">
        <v>585</v>
      </c>
      <c r="B383" s="201"/>
      <c r="C383" s="199">
        <f t="shared" si="5"/>
        <v>0</v>
      </c>
      <c r="D383" s="202"/>
    </row>
    <row r="384" spans="1:4" ht="14.25">
      <c r="A384" s="204" t="s">
        <v>355</v>
      </c>
      <c r="B384" s="201"/>
      <c r="C384" s="199">
        <f t="shared" si="5"/>
        <v>0</v>
      </c>
      <c r="D384" s="202"/>
    </row>
    <row r="385" spans="1:4" ht="14.25">
      <c r="A385" s="204" t="s">
        <v>586</v>
      </c>
      <c r="B385" s="201"/>
      <c r="C385" s="199">
        <f t="shared" si="5"/>
        <v>0</v>
      </c>
      <c r="D385" s="202"/>
    </row>
    <row r="386" spans="1:4" ht="14.25">
      <c r="A386" s="204" t="s">
        <v>587</v>
      </c>
      <c r="B386" s="201"/>
      <c r="C386" s="199">
        <f t="shared" si="5"/>
        <v>0</v>
      </c>
      <c r="D386" s="202"/>
    </row>
    <row r="387" spans="1:4" ht="14.25">
      <c r="A387" s="204" t="s">
        <v>588</v>
      </c>
      <c r="B387" s="201"/>
      <c r="C387" s="199">
        <f t="shared" si="5"/>
        <v>0</v>
      </c>
      <c r="D387" s="202"/>
    </row>
    <row r="388" spans="1:4" ht="14.25">
      <c r="A388" s="205" t="s">
        <v>589</v>
      </c>
      <c r="B388" s="201"/>
      <c r="C388" s="199">
        <f t="shared" si="5"/>
        <v>0</v>
      </c>
      <c r="D388" s="202"/>
    </row>
    <row r="389" spans="1:4" ht="14.25">
      <c r="A389" s="203" t="s">
        <v>590</v>
      </c>
      <c r="B389" s="201"/>
      <c r="C389" s="199">
        <f t="shared" si="5"/>
        <v>0</v>
      </c>
      <c r="D389" s="202"/>
    </row>
    <row r="390" spans="1:4" ht="14.25">
      <c r="A390" s="203" t="s">
        <v>591</v>
      </c>
      <c r="B390" s="201"/>
      <c r="C390" s="199">
        <f t="shared" si="5"/>
        <v>0</v>
      </c>
      <c r="D390" s="202"/>
    </row>
    <row r="391" spans="1:4" ht="14.25">
      <c r="A391" s="200" t="s">
        <v>592</v>
      </c>
      <c r="B391" s="201">
        <f>9+149</f>
        <v>158</v>
      </c>
      <c r="C391" s="199">
        <f aca="true" t="shared" si="6" ref="C391:C454">B391-D391</f>
        <v>149</v>
      </c>
      <c r="D391" s="202">
        <v>9</v>
      </c>
    </row>
    <row r="392" spans="1:4" ht="14.25">
      <c r="A392" s="197" t="s">
        <v>593</v>
      </c>
      <c r="B392" s="201">
        <f>SUM(B393,B398,B407,B414,B420,B424,B428,B432,B438,B445)</f>
        <v>25252</v>
      </c>
      <c r="C392" s="199">
        <f t="shared" si="6"/>
        <v>23114</v>
      </c>
      <c r="D392" s="202">
        <f>SUM(D393,D398,D407,D414,D420,D424,D428,D432,D438,D445)</f>
        <v>2138</v>
      </c>
    </row>
    <row r="393" spans="1:4" ht="14.25">
      <c r="A393" s="206" t="s">
        <v>594</v>
      </c>
      <c r="B393" s="201">
        <f>SUM(B394:B397)</f>
        <v>2294</v>
      </c>
      <c r="C393" s="199">
        <f t="shared" si="6"/>
        <v>2290</v>
      </c>
      <c r="D393" s="202">
        <f>SUM(D394:D397)</f>
        <v>4</v>
      </c>
    </row>
    <row r="394" spans="1:4" ht="14.25">
      <c r="A394" s="203" t="s">
        <v>355</v>
      </c>
      <c r="B394" s="201">
        <v>1001</v>
      </c>
      <c r="C394" s="199">
        <f t="shared" si="6"/>
        <v>1001</v>
      </c>
      <c r="D394" s="202"/>
    </row>
    <row r="395" spans="1:4" ht="14.25">
      <c r="A395" s="203" t="s">
        <v>356</v>
      </c>
      <c r="B395" s="201">
        <v>225</v>
      </c>
      <c r="C395" s="199">
        <f t="shared" si="6"/>
        <v>225</v>
      </c>
      <c r="D395" s="202"/>
    </row>
    <row r="396" spans="1:4" ht="14.25">
      <c r="A396" s="203" t="s">
        <v>357</v>
      </c>
      <c r="B396" s="201"/>
      <c r="C396" s="199">
        <f t="shared" si="6"/>
        <v>0</v>
      </c>
      <c r="D396" s="202"/>
    </row>
    <row r="397" spans="1:4" ht="14.25">
      <c r="A397" s="204" t="s">
        <v>595</v>
      </c>
      <c r="B397" s="201">
        <v>1068</v>
      </c>
      <c r="C397" s="199">
        <f t="shared" si="6"/>
        <v>1064</v>
      </c>
      <c r="D397" s="202">
        <v>4</v>
      </c>
    </row>
    <row r="398" spans="1:4" ht="14.25">
      <c r="A398" s="200" t="s">
        <v>596</v>
      </c>
      <c r="B398" s="201">
        <f>SUM(B399:B406)</f>
        <v>7348</v>
      </c>
      <c r="C398" s="199">
        <f t="shared" si="6"/>
        <v>6457</v>
      </c>
      <c r="D398" s="202">
        <f>SUM(D399:D406)</f>
        <v>891</v>
      </c>
    </row>
    <row r="399" spans="1:4" ht="14.25">
      <c r="A399" s="203" t="s">
        <v>597</v>
      </c>
      <c r="B399" s="201">
        <v>405</v>
      </c>
      <c r="C399" s="199">
        <f t="shared" si="6"/>
        <v>404</v>
      </c>
      <c r="D399" s="202">
        <v>1</v>
      </c>
    </row>
    <row r="400" spans="1:4" ht="14.25">
      <c r="A400" s="203" t="s">
        <v>598</v>
      </c>
      <c r="B400" s="201"/>
      <c r="C400" s="199">
        <f t="shared" si="6"/>
        <v>0</v>
      </c>
      <c r="D400" s="202"/>
    </row>
    <row r="401" spans="1:4" ht="14.25">
      <c r="A401" s="204" t="s">
        <v>599</v>
      </c>
      <c r="B401" s="201">
        <v>700</v>
      </c>
      <c r="C401" s="199">
        <f t="shared" si="6"/>
        <v>700</v>
      </c>
      <c r="D401" s="202"/>
    </row>
    <row r="402" spans="1:4" ht="14.25">
      <c r="A402" s="204" t="s">
        <v>600</v>
      </c>
      <c r="B402" s="201">
        <v>2614</v>
      </c>
      <c r="C402" s="199">
        <f t="shared" si="6"/>
        <v>2507</v>
      </c>
      <c r="D402" s="202">
        <v>107</v>
      </c>
    </row>
    <row r="403" spans="1:4" ht="14.25">
      <c r="A403" s="204" t="s">
        <v>601</v>
      </c>
      <c r="B403" s="201">
        <v>3123</v>
      </c>
      <c r="C403" s="199">
        <f t="shared" si="6"/>
        <v>2840</v>
      </c>
      <c r="D403" s="202">
        <v>283</v>
      </c>
    </row>
    <row r="404" spans="1:4" ht="14.25">
      <c r="A404" s="203" t="s">
        <v>602</v>
      </c>
      <c r="B404" s="201"/>
      <c r="C404" s="199">
        <f t="shared" si="6"/>
        <v>0</v>
      </c>
      <c r="D404" s="202"/>
    </row>
    <row r="405" spans="1:4" ht="14.25">
      <c r="A405" s="203" t="s">
        <v>603</v>
      </c>
      <c r="B405" s="201"/>
      <c r="C405" s="199">
        <f t="shared" si="6"/>
        <v>0</v>
      </c>
      <c r="D405" s="202"/>
    </row>
    <row r="406" spans="1:4" ht="14.25">
      <c r="A406" s="203" t="s">
        <v>604</v>
      </c>
      <c r="B406" s="201">
        <v>506</v>
      </c>
      <c r="C406" s="199">
        <f t="shared" si="6"/>
        <v>6</v>
      </c>
      <c r="D406" s="202">
        <v>500</v>
      </c>
    </row>
    <row r="407" spans="1:4" ht="14.25">
      <c r="A407" s="200" t="s">
        <v>605</v>
      </c>
      <c r="B407" s="201">
        <f>SUM(B408:B413)</f>
        <v>8985</v>
      </c>
      <c r="C407" s="199">
        <f t="shared" si="6"/>
        <v>7792</v>
      </c>
      <c r="D407" s="202">
        <f>SUM(D408:D413)</f>
        <v>1193</v>
      </c>
    </row>
    <row r="408" spans="1:4" ht="14.25">
      <c r="A408" s="203" t="s">
        <v>606</v>
      </c>
      <c r="B408" s="201"/>
      <c r="C408" s="199">
        <f t="shared" si="6"/>
        <v>0</v>
      </c>
      <c r="D408" s="202"/>
    </row>
    <row r="409" spans="1:4" ht="14.25">
      <c r="A409" s="203" t="s">
        <v>607</v>
      </c>
      <c r="B409" s="201">
        <v>2233</v>
      </c>
      <c r="C409" s="199">
        <f t="shared" si="6"/>
        <v>1949</v>
      </c>
      <c r="D409" s="202">
        <v>284</v>
      </c>
    </row>
    <row r="410" spans="1:4" ht="14.25">
      <c r="A410" s="203" t="s">
        <v>608</v>
      </c>
      <c r="B410" s="201">
        <v>2113</v>
      </c>
      <c r="C410" s="199">
        <f t="shared" si="6"/>
        <v>2113</v>
      </c>
      <c r="D410" s="202"/>
    </row>
    <row r="411" spans="1:4" ht="14.25">
      <c r="A411" s="204" t="s">
        <v>609</v>
      </c>
      <c r="B411" s="201"/>
      <c r="C411" s="199">
        <f t="shared" si="6"/>
        <v>0</v>
      </c>
      <c r="D411" s="202"/>
    </row>
    <row r="412" spans="1:4" ht="14.25">
      <c r="A412" s="204" t="s">
        <v>610</v>
      </c>
      <c r="B412" s="201">
        <v>3364</v>
      </c>
      <c r="C412" s="199">
        <f t="shared" si="6"/>
        <v>2839</v>
      </c>
      <c r="D412" s="202">
        <v>525</v>
      </c>
    </row>
    <row r="413" spans="1:4" ht="14.25">
      <c r="A413" s="204" t="s">
        <v>611</v>
      </c>
      <c r="B413" s="201">
        <v>1275</v>
      </c>
      <c r="C413" s="199">
        <f t="shared" si="6"/>
        <v>891</v>
      </c>
      <c r="D413" s="202">
        <v>384</v>
      </c>
    </row>
    <row r="414" spans="1:4" ht="14.25">
      <c r="A414" s="197" t="s">
        <v>612</v>
      </c>
      <c r="B414" s="201">
        <f>SUM(B415:B419)</f>
        <v>0</v>
      </c>
      <c r="C414" s="199">
        <f t="shared" si="6"/>
        <v>0</v>
      </c>
      <c r="D414" s="202">
        <f>SUM(D415:D419)</f>
        <v>0</v>
      </c>
    </row>
    <row r="415" spans="1:4" ht="14.25">
      <c r="A415" s="203" t="s">
        <v>613</v>
      </c>
      <c r="B415" s="201"/>
      <c r="C415" s="199">
        <f t="shared" si="6"/>
        <v>0</v>
      </c>
      <c r="D415" s="202"/>
    </row>
    <row r="416" spans="1:4" ht="14.25">
      <c r="A416" s="203" t="s">
        <v>614</v>
      </c>
      <c r="B416" s="201"/>
      <c r="C416" s="199">
        <f t="shared" si="6"/>
        <v>0</v>
      </c>
      <c r="D416" s="202"/>
    </row>
    <row r="417" spans="1:4" ht="14.25">
      <c r="A417" s="203" t="s">
        <v>615</v>
      </c>
      <c r="B417" s="201"/>
      <c r="C417" s="199">
        <f t="shared" si="6"/>
        <v>0</v>
      </c>
      <c r="D417" s="202"/>
    </row>
    <row r="418" spans="1:4" ht="14.25">
      <c r="A418" s="204" t="s">
        <v>616</v>
      </c>
      <c r="B418" s="201"/>
      <c r="C418" s="199">
        <f t="shared" si="6"/>
        <v>0</v>
      </c>
      <c r="D418" s="202"/>
    </row>
    <row r="419" spans="1:4" ht="14.25">
      <c r="A419" s="204" t="s">
        <v>617</v>
      </c>
      <c r="B419" s="201"/>
      <c r="C419" s="199">
        <f t="shared" si="6"/>
        <v>0</v>
      </c>
      <c r="D419" s="202"/>
    </row>
    <row r="420" spans="1:4" ht="14.25">
      <c r="A420" s="206" t="s">
        <v>618</v>
      </c>
      <c r="B420" s="201">
        <f>SUM(B421:B423)</f>
        <v>1139</v>
      </c>
      <c r="C420" s="199">
        <f t="shared" si="6"/>
        <v>1139</v>
      </c>
      <c r="D420" s="202">
        <f>SUM(D421:D423)</f>
        <v>0</v>
      </c>
    </row>
    <row r="421" spans="1:4" ht="14.25">
      <c r="A421" s="203" t="s">
        <v>619</v>
      </c>
      <c r="B421" s="201">
        <v>1139</v>
      </c>
      <c r="C421" s="199">
        <f t="shared" si="6"/>
        <v>1139</v>
      </c>
      <c r="D421" s="202"/>
    </row>
    <row r="422" spans="1:4" ht="14.25">
      <c r="A422" s="203" t="s">
        <v>620</v>
      </c>
      <c r="B422" s="201"/>
      <c r="C422" s="199">
        <f t="shared" si="6"/>
        <v>0</v>
      </c>
      <c r="D422" s="202"/>
    </row>
    <row r="423" spans="1:4" ht="14.25">
      <c r="A423" s="203" t="s">
        <v>621</v>
      </c>
      <c r="B423" s="201"/>
      <c r="C423" s="199">
        <f t="shared" si="6"/>
        <v>0</v>
      </c>
      <c r="D423" s="202"/>
    </row>
    <row r="424" spans="1:4" ht="14.25">
      <c r="A424" s="214" t="s">
        <v>622</v>
      </c>
      <c r="B424" s="201">
        <f>SUM(B425:B427)</f>
        <v>0</v>
      </c>
      <c r="C424" s="199">
        <f t="shared" si="6"/>
        <v>0</v>
      </c>
      <c r="D424" s="202">
        <f>SUM(D425:D427)</f>
        <v>0</v>
      </c>
    </row>
    <row r="425" spans="1:4" ht="14.25">
      <c r="A425" s="204" t="s">
        <v>623</v>
      </c>
      <c r="B425" s="201"/>
      <c r="C425" s="199">
        <f t="shared" si="6"/>
        <v>0</v>
      </c>
      <c r="D425" s="202"/>
    </row>
    <row r="426" spans="1:4" ht="14.25">
      <c r="A426" s="204" t="s">
        <v>624</v>
      </c>
      <c r="B426" s="201"/>
      <c r="C426" s="199">
        <f t="shared" si="6"/>
        <v>0</v>
      </c>
      <c r="D426" s="202"/>
    </row>
    <row r="427" spans="1:4" ht="14.25">
      <c r="A427" s="205" t="s">
        <v>625</v>
      </c>
      <c r="B427" s="201"/>
      <c r="C427" s="199">
        <f t="shared" si="6"/>
        <v>0</v>
      </c>
      <c r="D427" s="202"/>
    </row>
    <row r="428" spans="1:4" ht="14.25">
      <c r="A428" s="200" t="s">
        <v>626</v>
      </c>
      <c r="B428" s="201">
        <f>SUM(B429:B431)</f>
        <v>984</v>
      </c>
      <c r="C428" s="199">
        <f t="shared" si="6"/>
        <v>934</v>
      </c>
      <c r="D428" s="202">
        <f>SUM(D429:D431)</f>
        <v>50</v>
      </c>
    </row>
    <row r="429" spans="1:4" ht="14.25">
      <c r="A429" s="203" t="s">
        <v>627</v>
      </c>
      <c r="B429" s="201">
        <v>984</v>
      </c>
      <c r="C429" s="199">
        <f t="shared" si="6"/>
        <v>934</v>
      </c>
      <c r="D429" s="202">
        <v>50</v>
      </c>
    </row>
    <row r="430" spans="1:4" ht="14.25">
      <c r="A430" s="203" t="s">
        <v>628</v>
      </c>
      <c r="B430" s="201"/>
      <c r="C430" s="199">
        <f t="shared" si="6"/>
        <v>0</v>
      </c>
      <c r="D430" s="202"/>
    </row>
    <row r="431" spans="1:4" ht="14.25">
      <c r="A431" s="204" t="s">
        <v>629</v>
      </c>
      <c r="B431" s="201"/>
      <c r="C431" s="199">
        <f t="shared" si="6"/>
        <v>0</v>
      </c>
      <c r="D431" s="202"/>
    </row>
    <row r="432" spans="1:4" ht="14.25">
      <c r="A432" s="206" t="s">
        <v>630</v>
      </c>
      <c r="B432" s="201">
        <f>SUM(B433:B437)</f>
        <v>2121</v>
      </c>
      <c r="C432" s="199">
        <f t="shared" si="6"/>
        <v>2121</v>
      </c>
      <c r="D432" s="202">
        <f>SUM(D433:D437)</f>
        <v>0</v>
      </c>
    </row>
    <row r="433" spans="1:4" ht="14.25">
      <c r="A433" s="204" t="s">
        <v>631</v>
      </c>
      <c r="B433" s="201"/>
      <c r="C433" s="199">
        <f t="shared" si="6"/>
        <v>0</v>
      </c>
      <c r="D433" s="202"/>
    </row>
    <row r="434" spans="1:4" ht="14.25">
      <c r="A434" s="203" t="s">
        <v>632</v>
      </c>
      <c r="B434" s="201">
        <v>2116</v>
      </c>
      <c r="C434" s="199">
        <f t="shared" si="6"/>
        <v>2116</v>
      </c>
      <c r="D434" s="202"/>
    </row>
    <row r="435" spans="1:4" ht="14.25">
      <c r="A435" s="203" t="s">
        <v>633</v>
      </c>
      <c r="B435" s="201">
        <v>5</v>
      </c>
      <c r="C435" s="199">
        <f t="shared" si="6"/>
        <v>5</v>
      </c>
      <c r="D435" s="202"/>
    </row>
    <row r="436" spans="1:4" ht="14.25">
      <c r="A436" s="203" t="s">
        <v>634</v>
      </c>
      <c r="B436" s="201"/>
      <c r="C436" s="199">
        <f t="shared" si="6"/>
        <v>0</v>
      </c>
      <c r="D436" s="202"/>
    </row>
    <row r="437" spans="1:4" ht="14.25">
      <c r="A437" s="203" t="s">
        <v>635</v>
      </c>
      <c r="B437" s="201"/>
      <c r="C437" s="199">
        <f t="shared" si="6"/>
        <v>0</v>
      </c>
      <c r="D437" s="202"/>
    </row>
    <row r="438" spans="1:4" ht="14.25">
      <c r="A438" s="200" t="s">
        <v>636</v>
      </c>
      <c r="B438" s="201">
        <f>SUM(B439:B444)</f>
        <v>117</v>
      </c>
      <c r="C438" s="199">
        <f t="shared" si="6"/>
        <v>117</v>
      </c>
      <c r="D438" s="202">
        <f>SUM(D439:D444)</f>
        <v>0</v>
      </c>
    </row>
    <row r="439" spans="1:4" ht="14.25">
      <c r="A439" s="204" t="s">
        <v>637</v>
      </c>
      <c r="B439" s="201"/>
      <c r="C439" s="199">
        <f t="shared" si="6"/>
        <v>0</v>
      </c>
      <c r="D439" s="202"/>
    </row>
    <row r="440" spans="1:4" ht="14.25">
      <c r="A440" s="204" t="s">
        <v>638</v>
      </c>
      <c r="B440" s="201"/>
      <c r="C440" s="199">
        <f t="shared" si="6"/>
        <v>0</v>
      </c>
      <c r="D440" s="202"/>
    </row>
    <row r="441" spans="1:4" ht="14.25">
      <c r="A441" s="204" t="s">
        <v>639</v>
      </c>
      <c r="B441" s="201"/>
      <c r="C441" s="199">
        <f t="shared" si="6"/>
        <v>0</v>
      </c>
      <c r="D441" s="202"/>
    </row>
    <row r="442" spans="1:4" ht="14.25">
      <c r="A442" s="205" t="s">
        <v>640</v>
      </c>
      <c r="B442" s="201"/>
      <c r="C442" s="199">
        <f t="shared" si="6"/>
        <v>0</v>
      </c>
      <c r="D442" s="202"/>
    </row>
    <row r="443" spans="1:4" ht="14.25">
      <c r="A443" s="203" t="s">
        <v>641</v>
      </c>
      <c r="B443" s="201"/>
      <c r="C443" s="199">
        <f t="shared" si="6"/>
        <v>0</v>
      </c>
      <c r="D443" s="202"/>
    </row>
    <row r="444" spans="1:4" ht="14.25">
      <c r="A444" s="203" t="s">
        <v>642</v>
      </c>
      <c r="B444" s="201">
        <v>117</v>
      </c>
      <c r="C444" s="199">
        <f t="shared" si="6"/>
        <v>117</v>
      </c>
      <c r="D444" s="202"/>
    </row>
    <row r="445" spans="1:4" ht="14.25">
      <c r="A445" s="200" t="s">
        <v>643</v>
      </c>
      <c r="B445" s="201">
        <v>2264</v>
      </c>
      <c r="C445" s="199">
        <f t="shared" si="6"/>
        <v>2264</v>
      </c>
      <c r="D445" s="202"/>
    </row>
    <row r="446" spans="1:4" ht="14.25">
      <c r="A446" s="197" t="s">
        <v>644</v>
      </c>
      <c r="B446" s="201">
        <f>SUM(B447,B452,B461,B467,B473,B478,B483,B490,B494,B497)</f>
        <v>5282</v>
      </c>
      <c r="C446" s="199">
        <f t="shared" si="6"/>
        <v>5278</v>
      </c>
      <c r="D446" s="202">
        <f>SUM(D447,D452,D461,D467,D473,D478,D483,D490,D494,D497)</f>
        <v>4</v>
      </c>
    </row>
    <row r="447" spans="1:4" ht="14.25">
      <c r="A447" s="206" t="s">
        <v>645</v>
      </c>
      <c r="B447" s="201">
        <f>SUM(B448:B451)</f>
        <v>926</v>
      </c>
      <c r="C447" s="199">
        <f t="shared" si="6"/>
        <v>926</v>
      </c>
      <c r="D447" s="202">
        <f>SUM(D448:D451)</f>
        <v>0</v>
      </c>
    </row>
    <row r="448" spans="1:4" ht="14.25">
      <c r="A448" s="203" t="s">
        <v>355</v>
      </c>
      <c r="B448" s="201">
        <v>386</v>
      </c>
      <c r="C448" s="199">
        <f t="shared" si="6"/>
        <v>386</v>
      </c>
      <c r="D448" s="202"/>
    </row>
    <row r="449" spans="1:4" ht="14.25">
      <c r="A449" s="203" t="s">
        <v>356</v>
      </c>
      <c r="B449" s="201">
        <v>40</v>
      </c>
      <c r="C449" s="199">
        <f t="shared" si="6"/>
        <v>40</v>
      </c>
      <c r="D449" s="202"/>
    </row>
    <row r="450" spans="1:4" ht="14.25">
      <c r="A450" s="203" t="s">
        <v>357</v>
      </c>
      <c r="B450" s="201"/>
      <c r="C450" s="199">
        <f t="shared" si="6"/>
        <v>0</v>
      </c>
      <c r="D450" s="202"/>
    </row>
    <row r="451" spans="1:4" ht="14.25">
      <c r="A451" s="204" t="s">
        <v>646</v>
      </c>
      <c r="B451" s="201">
        <v>500</v>
      </c>
      <c r="C451" s="199">
        <f t="shared" si="6"/>
        <v>500</v>
      </c>
      <c r="D451" s="202"/>
    </row>
    <row r="452" spans="1:4" ht="14.25">
      <c r="A452" s="200" t="s">
        <v>647</v>
      </c>
      <c r="B452" s="201">
        <f>SUM(B453:B460)</f>
        <v>940</v>
      </c>
      <c r="C452" s="199">
        <f t="shared" si="6"/>
        <v>940</v>
      </c>
      <c r="D452" s="202">
        <f>SUM(D453:D460)</f>
        <v>0</v>
      </c>
    </row>
    <row r="453" spans="1:4" ht="14.25">
      <c r="A453" s="203" t="s">
        <v>648</v>
      </c>
      <c r="B453" s="201">
        <v>940</v>
      </c>
      <c r="C453" s="199">
        <f t="shared" si="6"/>
        <v>940</v>
      </c>
      <c r="D453" s="202"/>
    </row>
    <row r="454" spans="1:4" ht="14.25">
      <c r="A454" s="203" t="s">
        <v>649</v>
      </c>
      <c r="B454" s="201"/>
      <c r="C454" s="199">
        <f t="shared" si="6"/>
        <v>0</v>
      </c>
      <c r="D454" s="202"/>
    </row>
    <row r="455" spans="1:4" ht="14.25">
      <c r="A455" s="205" t="s">
        <v>650</v>
      </c>
      <c r="B455" s="201"/>
      <c r="C455" s="199">
        <f aca="true" t="shared" si="7" ref="C455:C518">B455-D455</f>
        <v>0</v>
      </c>
      <c r="D455" s="202"/>
    </row>
    <row r="456" spans="1:4" ht="14.25">
      <c r="A456" s="203" t="s">
        <v>651</v>
      </c>
      <c r="B456" s="201"/>
      <c r="C456" s="199">
        <f t="shared" si="7"/>
        <v>0</v>
      </c>
      <c r="D456" s="202"/>
    </row>
    <row r="457" spans="1:4" ht="14.25">
      <c r="A457" s="203" t="s">
        <v>652</v>
      </c>
      <c r="B457" s="201"/>
      <c r="C457" s="199">
        <f t="shared" si="7"/>
        <v>0</v>
      </c>
      <c r="D457" s="202"/>
    </row>
    <row r="458" spans="1:4" ht="14.25">
      <c r="A458" s="203" t="s">
        <v>653</v>
      </c>
      <c r="B458" s="201"/>
      <c r="C458" s="199">
        <f t="shared" si="7"/>
        <v>0</v>
      </c>
      <c r="D458" s="202"/>
    </row>
    <row r="459" spans="1:4" ht="14.25">
      <c r="A459" s="204" t="s">
        <v>654</v>
      </c>
      <c r="B459" s="201"/>
      <c r="C459" s="199">
        <f t="shared" si="7"/>
        <v>0</v>
      </c>
      <c r="D459" s="202"/>
    </row>
    <row r="460" spans="1:4" ht="14.25">
      <c r="A460" s="204" t="s">
        <v>655</v>
      </c>
      <c r="B460" s="201"/>
      <c r="C460" s="199">
        <f t="shared" si="7"/>
        <v>0</v>
      </c>
      <c r="D460" s="202"/>
    </row>
    <row r="461" spans="1:4" ht="14.25">
      <c r="A461" s="206" t="s">
        <v>656</v>
      </c>
      <c r="B461" s="201">
        <f>SUM(B462:B466)</f>
        <v>0</v>
      </c>
      <c r="C461" s="199">
        <f t="shared" si="7"/>
        <v>0</v>
      </c>
      <c r="D461" s="202">
        <f>SUM(D462:D466)</f>
        <v>0</v>
      </c>
    </row>
    <row r="462" spans="1:4" ht="14.25">
      <c r="A462" s="203" t="s">
        <v>648</v>
      </c>
      <c r="B462" s="201"/>
      <c r="C462" s="199">
        <f t="shared" si="7"/>
        <v>0</v>
      </c>
      <c r="D462" s="202"/>
    </row>
    <row r="463" spans="1:4" ht="14.25">
      <c r="A463" s="203" t="s">
        <v>657</v>
      </c>
      <c r="B463" s="201"/>
      <c r="C463" s="199">
        <f t="shared" si="7"/>
        <v>0</v>
      </c>
      <c r="D463" s="202"/>
    </row>
    <row r="464" spans="1:4" ht="14.25">
      <c r="A464" s="203" t="s">
        <v>658</v>
      </c>
      <c r="B464" s="201"/>
      <c r="C464" s="199">
        <f t="shared" si="7"/>
        <v>0</v>
      </c>
      <c r="D464" s="202"/>
    </row>
    <row r="465" spans="1:4" ht="14.25">
      <c r="A465" s="204" t="s">
        <v>659</v>
      </c>
      <c r="B465" s="201"/>
      <c r="C465" s="199">
        <f t="shared" si="7"/>
        <v>0</v>
      </c>
      <c r="D465" s="202"/>
    </row>
    <row r="466" spans="1:4" ht="14.25">
      <c r="A466" s="204" t="s">
        <v>660</v>
      </c>
      <c r="B466" s="201"/>
      <c r="C466" s="199">
        <f t="shared" si="7"/>
        <v>0</v>
      </c>
      <c r="D466" s="202"/>
    </row>
    <row r="467" spans="1:4" ht="14.25">
      <c r="A467" s="206" t="s">
        <v>661</v>
      </c>
      <c r="B467" s="201">
        <f>SUM(B468:B472)</f>
        <v>1030</v>
      </c>
      <c r="C467" s="199">
        <f t="shared" si="7"/>
        <v>1030</v>
      </c>
      <c r="D467" s="202">
        <f>SUM(D468:D472)</f>
        <v>0</v>
      </c>
    </row>
    <row r="468" spans="1:4" ht="14.25">
      <c r="A468" s="205" t="s">
        <v>648</v>
      </c>
      <c r="B468" s="201"/>
      <c r="C468" s="199">
        <f t="shared" si="7"/>
        <v>0</v>
      </c>
      <c r="D468" s="202"/>
    </row>
    <row r="469" spans="1:4" ht="14.25">
      <c r="A469" s="203" t="s">
        <v>662</v>
      </c>
      <c r="B469" s="201"/>
      <c r="C469" s="199">
        <f t="shared" si="7"/>
        <v>0</v>
      </c>
      <c r="D469" s="202"/>
    </row>
    <row r="470" spans="1:4" ht="14.25">
      <c r="A470" s="203" t="s">
        <v>663</v>
      </c>
      <c r="B470" s="201">
        <v>1000</v>
      </c>
      <c r="C470" s="199">
        <f t="shared" si="7"/>
        <v>1000</v>
      </c>
      <c r="D470" s="202"/>
    </row>
    <row r="471" spans="1:4" ht="14.25">
      <c r="A471" s="203" t="s">
        <v>664</v>
      </c>
      <c r="B471" s="201"/>
      <c r="C471" s="199">
        <f t="shared" si="7"/>
        <v>0</v>
      </c>
      <c r="D471" s="202"/>
    </row>
    <row r="472" spans="1:4" ht="14.25">
      <c r="A472" s="204" t="s">
        <v>665</v>
      </c>
      <c r="B472" s="201">
        <v>30</v>
      </c>
      <c r="C472" s="199">
        <f t="shared" si="7"/>
        <v>30</v>
      </c>
      <c r="D472" s="202"/>
    </row>
    <row r="473" spans="1:4" ht="14.25">
      <c r="A473" s="206" t="s">
        <v>666</v>
      </c>
      <c r="B473" s="201">
        <f>SUM(B474:B477)</f>
        <v>0</v>
      </c>
      <c r="C473" s="199">
        <f t="shared" si="7"/>
        <v>0</v>
      </c>
      <c r="D473" s="202">
        <f>SUM(D474:D477)</f>
        <v>0</v>
      </c>
    </row>
    <row r="474" spans="1:4" ht="14.25">
      <c r="A474" s="204" t="s">
        <v>648</v>
      </c>
      <c r="B474" s="201"/>
      <c r="C474" s="199">
        <f t="shared" si="7"/>
        <v>0</v>
      </c>
      <c r="D474" s="202"/>
    </row>
    <row r="475" spans="1:4" ht="14.25">
      <c r="A475" s="203" t="s">
        <v>667</v>
      </c>
      <c r="B475" s="201"/>
      <c r="C475" s="199">
        <f t="shared" si="7"/>
        <v>0</v>
      </c>
      <c r="D475" s="202"/>
    </row>
    <row r="476" spans="1:4" ht="14.25">
      <c r="A476" s="203" t="s">
        <v>668</v>
      </c>
      <c r="B476" s="201"/>
      <c r="C476" s="199">
        <f t="shared" si="7"/>
        <v>0</v>
      </c>
      <c r="D476" s="202"/>
    </row>
    <row r="477" spans="1:4" ht="14.25">
      <c r="A477" s="203" t="s">
        <v>669</v>
      </c>
      <c r="B477" s="201"/>
      <c r="C477" s="199">
        <f t="shared" si="7"/>
        <v>0</v>
      </c>
      <c r="D477" s="202"/>
    </row>
    <row r="478" spans="1:4" ht="14.25">
      <c r="A478" s="206" t="s">
        <v>670</v>
      </c>
      <c r="B478" s="201">
        <f>SUM(B479:B482)</f>
        <v>97</v>
      </c>
      <c r="C478" s="199">
        <f t="shared" si="7"/>
        <v>97</v>
      </c>
      <c r="D478" s="202">
        <f>SUM(D479:D482)</f>
        <v>0</v>
      </c>
    </row>
    <row r="479" spans="1:4" ht="14.25">
      <c r="A479" s="204" t="s">
        <v>671</v>
      </c>
      <c r="B479" s="201">
        <v>97</v>
      </c>
      <c r="C479" s="199">
        <f t="shared" si="7"/>
        <v>97</v>
      </c>
      <c r="D479" s="202"/>
    </row>
    <row r="480" spans="1:4" ht="14.25">
      <c r="A480" s="204" t="s">
        <v>672</v>
      </c>
      <c r="B480" s="201"/>
      <c r="C480" s="199">
        <f t="shared" si="7"/>
        <v>0</v>
      </c>
      <c r="D480" s="202"/>
    </row>
    <row r="481" spans="1:4" ht="14.25">
      <c r="A481" s="205" t="s">
        <v>673</v>
      </c>
      <c r="B481" s="201"/>
      <c r="C481" s="199">
        <f t="shared" si="7"/>
        <v>0</v>
      </c>
      <c r="D481" s="202"/>
    </row>
    <row r="482" spans="1:4" ht="14.25">
      <c r="A482" s="203" t="s">
        <v>674</v>
      </c>
      <c r="B482" s="201"/>
      <c r="C482" s="199">
        <f t="shared" si="7"/>
        <v>0</v>
      </c>
      <c r="D482" s="202"/>
    </row>
    <row r="483" spans="1:4" ht="14.25">
      <c r="A483" s="200" t="s">
        <v>675</v>
      </c>
      <c r="B483" s="201">
        <f>SUM(B484:B489)</f>
        <v>639</v>
      </c>
      <c r="C483" s="199">
        <f t="shared" si="7"/>
        <v>635</v>
      </c>
      <c r="D483" s="202">
        <f>SUM(D484:D489)</f>
        <v>4</v>
      </c>
    </row>
    <row r="484" spans="1:4" ht="14.25">
      <c r="A484" s="203" t="s">
        <v>648</v>
      </c>
      <c r="B484" s="201">
        <v>227</v>
      </c>
      <c r="C484" s="199">
        <f t="shared" si="7"/>
        <v>227</v>
      </c>
      <c r="D484" s="202"/>
    </row>
    <row r="485" spans="1:4" ht="14.25">
      <c r="A485" s="204" t="s">
        <v>676</v>
      </c>
      <c r="B485" s="201">
        <v>157</v>
      </c>
      <c r="C485" s="199">
        <f t="shared" si="7"/>
        <v>157</v>
      </c>
      <c r="D485" s="202"/>
    </row>
    <row r="486" spans="1:4" ht="14.25">
      <c r="A486" s="204" t="s">
        <v>677</v>
      </c>
      <c r="B486" s="201">
        <v>5</v>
      </c>
      <c r="C486" s="199">
        <f t="shared" si="7"/>
        <v>5</v>
      </c>
      <c r="D486" s="202"/>
    </row>
    <row r="487" spans="1:4" ht="14.25">
      <c r="A487" s="204" t="s">
        <v>678</v>
      </c>
      <c r="B487" s="201">
        <v>4</v>
      </c>
      <c r="C487" s="199">
        <f t="shared" si="7"/>
        <v>0</v>
      </c>
      <c r="D487" s="202">
        <v>4</v>
      </c>
    </row>
    <row r="488" spans="1:4" ht="14.25">
      <c r="A488" s="203" t="s">
        <v>679</v>
      </c>
      <c r="B488" s="201"/>
      <c r="C488" s="199">
        <f t="shared" si="7"/>
        <v>0</v>
      </c>
      <c r="D488" s="202"/>
    </row>
    <row r="489" spans="1:4" ht="14.25">
      <c r="A489" s="203" t="s">
        <v>680</v>
      </c>
      <c r="B489" s="201">
        <v>246</v>
      </c>
      <c r="C489" s="199">
        <f t="shared" si="7"/>
        <v>246</v>
      </c>
      <c r="D489" s="202"/>
    </row>
    <row r="490" spans="1:4" ht="14.25">
      <c r="A490" s="200" t="s">
        <v>681</v>
      </c>
      <c r="B490" s="201">
        <f>SUM(B491:B493)</f>
        <v>0</v>
      </c>
      <c r="C490" s="199">
        <f t="shared" si="7"/>
        <v>0</v>
      </c>
      <c r="D490" s="202">
        <f>SUM(D491:D493)</f>
        <v>0</v>
      </c>
    </row>
    <row r="491" spans="1:4" ht="14.25">
      <c r="A491" s="204" t="s">
        <v>682</v>
      </c>
      <c r="B491" s="201"/>
      <c r="C491" s="199">
        <f t="shared" si="7"/>
        <v>0</v>
      </c>
      <c r="D491" s="202"/>
    </row>
    <row r="492" spans="1:4" ht="14.25">
      <c r="A492" s="204" t="s">
        <v>683</v>
      </c>
      <c r="B492" s="201"/>
      <c r="C492" s="199">
        <f t="shared" si="7"/>
        <v>0</v>
      </c>
      <c r="D492" s="202"/>
    </row>
    <row r="493" spans="1:4" ht="14.25">
      <c r="A493" s="204" t="s">
        <v>684</v>
      </c>
      <c r="B493" s="201"/>
      <c r="C493" s="199">
        <f t="shared" si="7"/>
        <v>0</v>
      </c>
      <c r="D493" s="202"/>
    </row>
    <row r="494" spans="1:4" ht="14.25">
      <c r="A494" s="197" t="s">
        <v>685</v>
      </c>
      <c r="B494" s="201">
        <f>SUM(B495:B496)</f>
        <v>700</v>
      </c>
      <c r="C494" s="199">
        <f t="shared" si="7"/>
        <v>700</v>
      </c>
      <c r="D494" s="202">
        <f>SUM(D495:D496)</f>
        <v>0</v>
      </c>
    </row>
    <row r="495" spans="1:4" ht="14.25">
      <c r="A495" s="204" t="s">
        <v>686</v>
      </c>
      <c r="B495" s="201">
        <v>700</v>
      </c>
      <c r="C495" s="199">
        <f t="shared" si="7"/>
        <v>700</v>
      </c>
      <c r="D495" s="202"/>
    </row>
    <row r="496" spans="1:4" ht="14.25">
      <c r="A496" s="204" t="s">
        <v>687</v>
      </c>
      <c r="B496" s="201"/>
      <c r="C496" s="199">
        <f t="shared" si="7"/>
        <v>0</v>
      </c>
      <c r="D496" s="202"/>
    </row>
    <row r="497" spans="1:4" ht="14.25">
      <c r="A497" s="200" t="s">
        <v>688</v>
      </c>
      <c r="B497" s="201">
        <f>SUM(B498:B501)</f>
        <v>950</v>
      </c>
      <c r="C497" s="199">
        <f t="shared" si="7"/>
        <v>950</v>
      </c>
      <c r="D497" s="202">
        <f>SUM(D498:D501)</f>
        <v>0</v>
      </c>
    </row>
    <row r="498" spans="1:4" ht="14.25">
      <c r="A498" s="203" t="s">
        <v>689</v>
      </c>
      <c r="B498" s="201"/>
      <c r="C498" s="199">
        <f t="shared" si="7"/>
        <v>0</v>
      </c>
      <c r="D498" s="202"/>
    </row>
    <row r="499" spans="1:4" ht="14.25">
      <c r="A499" s="204" t="s">
        <v>690</v>
      </c>
      <c r="B499" s="201"/>
      <c r="C499" s="199">
        <f t="shared" si="7"/>
        <v>0</v>
      </c>
      <c r="D499" s="202"/>
    </row>
    <row r="500" spans="1:4" ht="14.25">
      <c r="A500" s="204" t="s">
        <v>691</v>
      </c>
      <c r="B500" s="201"/>
      <c r="C500" s="199">
        <f t="shared" si="7"/>
        <v>0</v>
      </c>
      <c r="D500" s="202"/>
    </row>
    <row r="501" spans="1:4" ht="14.25">
      <c r="A501" s="204" t="s">
        <v>692</v>
      </c>
      <c r="B501" s="201">
        <v>950</v>
      </c>
      <c r="C501" s="199">
        <f t="shared" si="7"/>
        <v>950</v>
      </c>
      <c r="D501" s="202"/>
    </row>
    <row r="502" spans="1:4" ht="14.25">
      <c r="A502" s="215" t="s">
        <v>693</v>
      </c>
      <c r="B502" s="201">
        <f>SUM(B503,B517,B525,B536,B547)</f>
        <v>13919</v>
      </c>
      <c r="C502" s="199">
        <f t="shared" si="7"/>
        <v>12960</v>
      </c>
      <c r="D502" s="202">
        <f>SUM(D503,D517,D525,D536,D547)</f>
        <v>959</v>
      </c>
    </row>
    <row r="503" spans="1:4" ht="14.25">
      <c r="A503" s="215" t="s">
        <v>694</v>
      </c>
      <c r="B503" s="201">
        <f>SUM(B504:B516)</f>
        <v>5380</v>
      </c>
      <c r="C503" s="199">
        <f t="shared" si="7"/>
        <v>5315</v>
      </c>
      <c r="D503" s="202">
        <f>SUM(D504:D516)</f>
        <v>65</v>
      </c>
    </row>
    <row r="504" spans="1:4" ht="14.25">
      <c r="A504" s="207" t="s">
        <v>355</v>
      </c>
      <c r="B504" s="201">
        <v>1022</v>
      </c>
      <c r="C504" s="199">
        <f t="shared" si="7"/>
        <v>1022</v>
      </c>
      <c r="D504" s="202"/>
    </row>
    <row r="505" spans="1:4" ht="14.25">
      <c r="A505" s="207" t="s">
        <v>356</v>
      </c>
      <c r="B505" s="201">
        <v>60</v>
      </c>
      <c r="C505" s="199">
        <f t="shared" si="7"/>
        <v>60</v>
      </c>
      <c r="D505" s="202"/>
    </row>
    <row r="506" spans="1:4" ht="14.25">
      <c r="A506" s="207" t="s">
        <v>357</v>
      </c>
      <c r="B506" s="201"/>
      <c r="C506" s="199">
        <f t="shared" si="7"/>
        <v>0</v>
      </c>
      <c r="D506" s="202"/>
    </row>
    <row r="507" spans="1:4" ht="14.25">
      <c r="A507" s="207" t="s">
        <v>695</v>
      </c>
      <c r="B507" s="201">
        <v>263</v>
      </c>
      <c r="C507" s="199">
        <f t="shared" si="7"/>
        <v>263</v>
      </c>
      <c r="D507" s="202"/>
    </row>
    <row r="508" spans="1:4" ht="14.25">
      <c r="A508" s="207" t="s">
        <v>696</v>
      </c>
      <c r="B508" s="201"/>
      <c r="C508" s="199">
        <f t="shared" si="7"/>
        <v>0</v>
      </c>
      <c r="D508" s="202"/>
    </row>
    <row r="509" spans="1:4" ht="14.25">
      <c r="A509" s="207" t="s">
        <v>697</v>
      </c>
      <c r="B509" s="201"/>
      <c r="C509" s="199">
        <f t="shared" si="7"/>
        <v>0</v>
      </c>
      <c r="D509" s="202"/>
    </row>
    <row r="510" spans="1:4" ht="14.25">
      <c r="A510" s="207" t="s">
        <v>698</v>
      </c>
      <c r="B510" s="201"/>
      <c r="C510" s="199">
        <f t="shared" si="7"/>
        <v>0</v>
      </c>
      <c r="D510" s="202"/>
    </row>
    <row r="511" spans="1:4" ht="14.25">
      <c r="A511" s="207" t="s">
        <v>699</v>
      </c>
      <c r="B511" s="201"/>
      <c r="C511" s="199">
        <f t="shared" si="7"/>
        <v>0</v>
      </c>
      <c r="D511" s="202"/>
    </row>
    <row r="512" spans="1:4" ht="14.25">
      <c r="A512" s="207" t="s">
        <v>700</v>
      </c>
      <c r="B512" s="201">
        <v>197</v>
      </c>
      <c r="C512" s="199">
        <f t="shared" si="7"/>
        <v>197</v>
      </c>
      <c r="D512" s="202"/>
    </row>
    <row r="513" spans="1:4" ht="14.25">
      <c r="A513" s="207" t="s">
        <v>701</v>
      </c>
      <c r="B513" s="201"/>
      <c r="C513" s="199">
        <f t="shared" si="7"/>
        <v>0</v>
      </c>
      <c r="D513" s="202"/>
    </row>
    <row r="514" spans="1:4" ht="14.25">
      <c r="A514" s="207" t="s">
        <v>702</v>
      </c>
      <c r="B514" s="201">
        <v>334</v>
      </c>
      <c r="C514" s="199">
        <f t="shared" si="7"/>
        <v>334</v>
      </c>
      <c r="D514" s="202"/>
    </row>
    <row r="515" spans="1:4" ht="14.25">
      <c r="A515" s="207" t="s">
        <v>703</v>
      </c>
      <c r="B515" s="201">
        <v>50</v>
      </c>
      <c r="C515" s="199">
        <f t="shared" si="7"/>
        <v>50</v>
      </c>
      <c r="D515" s="202"/>
    </row>
    <row r="516" spans="1:4" ht="14.25">
      <c r="A516" s="207" t="s">
        <v>704</v>
      </c>
      <c r="B516" s="201">
        <v>3454</v>
      </c>
      <c r="C516" s="199">
        <f t="shared" si="7"/>
        <v>3389</v>
      </c>
      <c r="D516" s="202">
        <v>65</v>
      </c>
    </row>
    <row r="517" spans="1:4" ht="14.25">
      <c r="A517" s="215" t="s">
        <v>705</v>
      </c>
      <c r="B517" s="201">
        <f>SUM(B518:B524)</f>
        <v>936</v>
      </c>
      <c r="C517" s="199">
        <f t="shared" si="7"/>
        <v>472</v>
      </c>
      <c r="D517" s="202">
        <f>SUM(D518:D524)</f>
        <v>464</v>
      </c>
    </row>
    <row r="518" spans="1:4" ht="14.25">
      <c r="A518" s="207" t="s">
        <v>355</v>
      </c>
      <c r="B518" s="201"/>
      <c r="C518" s="199">
        <f t="shared" si="7"/>
        <v>0</v>
      </c>
      <c r="D518" s="202"/>
    </row>
    <row r="519" spans="1:4" ht="14.25">
      <c r="A519" s="207" t="s">
        <v>356</v>
      </c>
      <c r="B519" s="201"/>
      <c r="C519" s="199">
        <f aca="true" t="shared" si="8" ref="C519:C582">B519-D519</f>
        <v>0</v>
      </c>
      <c r="D519" s="202"/>
    </row>
    <row r="520" spans="1:4" ht="14.25">
      <c r="A520" s="207" t="s">
        <v>357</v>
      </c>
      <c r="B520" s="201"/>
      <c r="C520" s="199">
        <f t="shared" si="8"/>
        <v>0</v>
      </c>
      <c r="D520" s="202"/>
    </row>
    <row r="521" spans="1:4" ht="14.25">
      <c r="A521" s="205" t="s">
        <v>706</v>
      </c>
      <c r="B521" s="201">
        <v>237</v>
      </c>
      <c r="C521" s="199">
        <f t="shared" si="8"/>
        <v>237</v>
      </c>
      <c r="D521" s="202"/>
    </row>
    <row r="522" spans="1:4" ht="14.25">
      <c r="A522" s="205" t="s">
        <v>707</v>
      </c>
      <c r="B522" s="201">
        <v>364</v>
      </c>
      <c r="C522" s="199">
        <f t="shared" si="8"/>
        <v>235</v>
      </c>
      <c r="D522" s="202">
        <v>129</v>
      </c>
    </row>
    <row r="523" spans="1:4" ht="14.25">
      <c r="A523" s="205" t="s">
        <v>708</v>
      </c>
      <c r="B523" s="201"/>
      <c r="C523" s="199">
        <f t="shared" si="8"/>
        <v>0</v>
      </c>
      <c r="D523" s="202"/>
    </row>
    <row r="524" spans="1:4" ht="14.25">
      <c r="A524" s="205" t="s">
        <v>709</v>
      </c>
      <c r="B524" s="201">
        <v>335</v>
      </c>
      <c r="C524" s="199">
        <f t="shared" si="8"/>
        <v>0</v>
      </c>
      <c r="D524" s="202">
        <v>335</v>
      </c>
    </row>
    <row r="525" spans="1:4" ht="14.25">
      <c r="A525" s="215" t="s">
        <v>710</v>
      </c>
      <c r="B525" s="201">
        <f>SUM(B526:B535)</f>
        <v>706</v>
      </c>
      <c r="C525" s="199">
        <f t="shared" si="8"/>
        <v>681</v>
      </c>
      <c r="D525" s="202">
        <f>SUM(D526:D535)</f>
        <v>25</v>
      </c>
    </row>
    <row r="526" spans="1:4" ht="14.25">
      <c r="A526" s="207" t="s">
        <v>355</v>
      </c>
      <c r="B526" s="201">
        <v>201</v>
      </c>
      <c r="C526" s="199">
        <f t="shared" si="8"/>
        <v>201</v>
      </c>
      <c r="D526" s="202"/>
    </row>
    <row r="527" spans="1:4" ht="14.25">
      <c r="A527" s="207" t="s">
        <v>356</v>
      </c>
      <c r="B527" s="201"/>
      <c r="C527" s="199">
        <f t="shared" si="8"/>
        <v>0</v>
      </c>
      <c r="D527" s="202"/>
    </row>
    <row r="528" spans="1:4" ht="14.25">
      <c r="A528" s="207" t="s">
        <v>357</v>
      </c>
      <c r="B528" s="201"/>
      <c r="C528" s="199">
        <f t="shared" si="8"/>
        <v>0</v>
      </c>
      <c r="D528" s="202"/>
    </row>
    <row r="529" spans="1:4" ht="14.25">
      <c r="A529" s="205" t="s">
        <v>711</v>
      </c>
      <c r="B529" s="201"/>
      <c r="C529" s="199">
        <f t="shared" si="8"/>
        <v>0</v>
      </c>
      <c r="D529" s="202"/>
    </row>
    <row r="530" spans="1:4" ht="14.25">
      <c r="A530" s="205" t="s">
        <v>712</v>
      </c>
      <c r="B530" s="201">
        <v>164</v>
      </c>
      <c r="C530" s="199">
        <f t="shared" si="8"/>
        <v>164</v>
      </c>
      <c r="D530" s="202"/>
    </row>
    <row r="531" spans="1:4" ht="14.25">
      <c r="A531" s="205" t="s">
        <v>713</v>
      </c>
      <c r="B531" s="201">
        <v>10</v>
      </c>
      <c r="C531" s="199">
        <f t="shared" si="8"/>
        <v>10</v>
      </c>
      <c r="D531" s="202"/>
    </row>
    <row r="532" spans="1:4" ht="14.25">
      <c r="A532" s="205" t="s">
        <v>714</v>
      </c>
      <c r="B532" s="201">
        <v>133</v>
      </c>
      <c r="C532" s="199">
        <f t="shared" si="8"/>
        <v>133</v>
      </c>
      <c r="D532" s="202"/>
    </row>
    <row r="533" spans="1:4" ht="14.25">
      <c r="A533" s="205" t="s">
        <v>715</v>
      </c>
      <c r="B533" s="201">
        <v>173</v>
      </c>
      <c r="C533" s="199">
        <f t="shared" si="8"/>
        <v>173</v>
      </c>
      <c r="D533" s="202"/>
    </row>
    <row r="534" spans="1:4" ht="14.25">
      <c r="A534" s="205" t="s">
        <v>716</v>
      </c>
      <c r="B534" s="201"/>
      <c r="C534" s="199">
        <f t="shared" si="8"/>
        <v>0</v>
      </c>
      <c r="D534" s="202"/>
    </row>
    <row r="535" spans="1:4" ht="14.25">
      <c r="A535" s="205" t="s">
        <v>717</v>
      </c>
      <c r="B535" s="201">
        <v>25</v>
      </c>
      <c r="C535" s="199">
        <f t="shared" si="8"/>
        <v>0</v>
      </c>
      <c r="D535" s="202">
        <v>25</v>
      </c>
    </row>
    <row r="536" spans="1:4" ht="14.25">
      <c r="A536" s="215" t="s">
        <v>718</v>
      </c>
      <c r="B536" s="201">
        <f>SUM(B537:B546)</f>
        <v>1506</v>
      </c>
      <c r="C536" s="199">
        <f t="shared" si="8"/>
        <v>1421</v>
      </c>
      <c r="D536" s="202">
        <f>SUM(D537:D546)</f>
        <v>85</v>
      </c>
    </row>
    <row r="537" spans="1:4" ht="14.25">
      <c r="A537" s="207" t="s">
        <v>355</v>
      </c>
      <c r="B537" s="201">
        <v>108</v>
      </c>
      <c r="C537" s="199">
        <f t="shared" si="8"/>
        <v>108</v>
      </c>
      <c r="D537" s="202"/>
    </row>
    <row r="538" spans="1:4" ht="14.25">
      <c r="A538" s="207" t="s">
        <v>356</v>
      </c>
      <c r="B538" s="201"/>
      <c r="C538" s="199">
        <f t="shared" si="8"/>
        <v>0</v>
      </c>
      <c r="D538" s="202"/>
    </row>
    <row r="539" spans="1:4" ht="14.25">
      <c r="A539" s="207" t="s">
        <v>357</v>
      </c>
      <c r="B539" s="201"/>
      <c r="C539" s="199">
        <f t="shared" si="8"/>
        <v>0</v>
      </c>
      <c r="D539" s="202"/>
    </row>
    <row r="540" spans="1:4" ht="14.25">
      <c r="A540" s="205" t="s">
        <v>719</v>
      </c>
      <c r="B540" s="201">
        <v>10</v>
      </c>
      <c r="C540" s="199">
        <f t="shared" si="8"/>
        <v>10</v>
      </c>
      <c r="D540" s="202"/>
    </row>
    <row r="541" spans="1:4" ht="14.25">
      <c r="A541" s="205" t="s">
        <v>720</v>
      </c>
      <c r="B541" s="201">
        <v>680</v>
      </c>
      <c r="C541" s="199">
        <f t="shared" si="8"/>
        <v>680</v>
      </c>
      <c r="D541" s="202"/>
    </row>
    <row r="542" spans="1:4" ht="14.25">
      <c r="A542" s="207" t="s">
        <v>721</v>
      </c>
      <c r="B542" s="201"/>
      <c r="C542" s="199">
        <f t="shared" si="8"/>
        <v>0</v>
      </c>
      <c r="D542" s="202"/>
    </row>
    <row r="543" spans="1:4" ht="14.25">
      <c r="A543" s="205" t="s">
        <v>722</v>
      </c>
      <c r="B543" s="201"/>
      <c r="C543" s="199">
        <f t="shared" si="8"/>
        <v>0</v>
      </c>
      <c r="D543" s="202"/>
    </row>
    <row r="544" spans="1:4" ht="14.25">
      <c r="A544" s="205" t="s">
        <v>723</v>
      </c>
      <c r="B544" s="201"/>
      <c r="C544" s="199">
        <f t="shared" si="8"/>
        <v>0</v>
      </c>
      <c r="D544" s="202"/>
    </row>
    <row r="545" spans="1:4" ht="14.25">
      <c r="A545" s="207" t="s">
        <v>724</v>
      </c>
      <c r="B545" s="201"/>
      <c r="C545" s="199">
        <f t="shared" si="8"/>
        <v>0</v>
      </c>
      <c r="D545" s="202"/>
    </row>
    <row r="546" spans="1:4" ht="14.25">
      <c r="A546" s="205" t="s">
        <v>725</v>
      </c>
      <c r="B546" s="201">
        <v>708</v>
      </c>
      <c r="C546" s="199">
        <f t="shared" si="8"/>
        <v>623</v>
      </c>
      <c r="D546" s="202">
        <v>85</v>
      </c>
    </row>
    <row r="547" spans="1:4" ht="14.25">
      <c r="A547" s="215" t="s">
        <v>726</v>
      </c>
      <c r="B547" s="201">
        <f>SUM(B548:B550)</f>
        <v>5391</v>
      </c>
      <c r="C547" s="199">
        <f t="shared" si="8"/>
        <v>5071</v>
      </c>
      <c r="D547" s="202">
        <f>SUM(D548:D550)</f>
        <v>320</v>
      </c>
    </row>
    <row r="548" spans="1:4" ht="14.25">
      <c r="A548" s="207" t="s">
        <v>727</v>
      </c>
      <c r="B548" s="201"/>
      <c r="C548" s="199">
        <f t="shared" si="8"/>
        <v>0</v>
      </c>
      <c r="D548" s="202"/>
    </row>
    <row r="549" spans="1:4" ht="14.25">
      <c r="A549" s="207" t="s">
        <v>728</v>
      </c>
      <c r="B549" s="201"/>
      <c r="C549" s="199">
        <f t="shared" si="8"/>
        <v>0</v>
      </c>
      <c r="D549" s="202"/>
    </row>
    <row r="550" spans="1:4" ht="14.25">
      <c r="A550" s="207" t="s">
        <v>729</v>
      </c>
      <c r="B550" s="201">
        <v>5391</v>
      </c>
      <c r="C550" s="199">
        <f t="shared" si="8"/>
        <v>5071</v>
      </c>
      <c r="D550" s="202">
        <v>320</v>
      </c>
    </row>
    <row r="551" spans="1:4" ht="14.25">
      <c r="A551" s="215" t="s">
        <v>730</v>
      </c>
      <c r="B551" s="201">
        <f>SUM(B552,B566,B577,B585,B591,B595,B606,B614,B620,B627,B635,B640,B645,B648,B651,B654,B657,B660)</f>
        <v>94893</v>
      </c>
      <c r="C551" s="199">
        <f t="shared" si="8"/>
        <v>47636</v>
      </c>
      <c r="D551" s="202">
        <f>SUM(D552,D566,D577,D585,D591,D595,D606,D614,D620,D627,D635,D640,D645,D648,D651,D654,D657,D660)</f>
        <v>47257</v>
      </c>
    </row>
    <row r="552" spans="1:4" ht="14.25">
      <c r="A552" s="215" t="s">
        <v>731</v>
      </c>
      <c r="B552" s="201">
        <f>SUM(B553:B565)</f>
        <v>4096</v>
      </c>
      <c r="C552" s="199">
        <f t="shared" si="8"/>
        <v>4096</v>
      </c>
      <c r="D552" s="202">
        <f>SUM(D553:D565)</f>
        <v>0</v>
      </c>
    </row>
    <row r="553" spans="1:4" ht="14.25">
      <c r="A553" s="207" t="s">
        <v>355</v>
      </c>
      <c r="B553" s="201">
        <v>1497</v>
      </c>
      <c r="C553" s="199">
        <f t="shared" si="8"/>
        <v>1497</v>
      </c>
      <c r="D553" s="202"/>
    </row>
    <row r="554" spans="1:4" ht="14.25">
      <c r="A554" s="207" t="s">
        <v>356</v>
      </c>
      <c r="B554" s="201">
        <v>350</v>
      </c>
      <c r="C554" s="199">
        <f t="shared" si="8"/>
        <v>350</v>
      </c>
      <c r="D554" s="202"/>
    </row>
    <row r="555" spans="1:4" ht="14.25">
      <c r="A555" s="207" t="s">
        <v>357</v>
      </c>
      <c r="B555" s="201"/>
      <c r="C555" s="199">
        <f t="shared" si="8"/>
        <v>0</v>
      </c>
      <c r="D555" s="202"/>
    </row>
    <row r="556" spans="1:4" ht="14.25">
      <c r="A556" s="207" t="s">
        <v>732</v>
      </c>
      <c r="B556" s="201"/>
      <c r="C556" s="199">
        <f t="shared" si="8"/>
        <v>0</v>
      </c>
      <c r="D556" s="202"/>
    </row>
    <row r="557" spans="1:4" ht="14.25">
      <c r="A557" s="207" t="s">
        <v>733</v>
      </c>
      <c r="B557" s="201"/>
      <c r="C557" s="199">
        <f t="shared" si="8"/>
        <v>0</v>
      </c>
      <c r="D557" s="202"/>
    </row>
    <row r="558" spans="1:4" ht="14.25">
      <c r="A558" s="207" t="s">
        <v>734</v>
      </c>
      <c r="B558" s="201">
        <v>248</v>
      </c>
      <c r="C558" s="199">
        <f t="shared" si="8"/>
        <v>248</v>
      </c>
      <c r="D558" s="202"/>
    </row>
    <row r="559" spans="1:4" ht="14.25">
      <c r="A559" s="207" t="s">
        <v>735</v>
      </c>
      <c r="B559" s="201">
        <v>450</v>
      </c>
      <c r="C559" s="199">
        <f t="shared" si="8"/>
        <v>450</v>
      </c>
      <c r="D559" s="202"/>
    </row>
    <row r="560" spans="1:4" ht="14.25">
      <c r="A560" s="207" t="s">
        <v>398</v>
      </c>
      <c r="B560" s="201"/>
      <c r="C560" s="199">
        <f t="shared" si="8"/>
        <v>0</v>
      </c>
      <c r="D560" s="202"/>
    </row>
    <row r="561" spans="1:4" ht="14.25">
      <c r="A561" s="207" t="s">
        <v>736</v>
      </c>
      <c r="B561" s="201">
        <f>1019-400</f>
        <v>619</v>
      </c>
      <c r="C561" s="199">
        <f t="shared" si="8"/>
        <v>619</v>
      </c>
      <c r="D561" s="202"/>
    </row>
    <row r="562" spans="1:4" ht="14.25">
      <c r="A562" s="207" t="s">
        <v>737</v>
      </c>
      <c r="B562" s="201">
        <v>32</v>
      </c>
      <c r="C562" s="199">
        <f t="shared" si="8"/>
        <v>32</v>
      </c>
      <c r="D562" s="202"/>
    </row>
    <row r="563" spans="1:4" ht="14.25">
      <c r="A563" s="207" t="s">
        <v>738</v>
      </c>
      <c r="B563" s="201"/>
      <c r="C563" s="199">
        <f t="shared" si="8"/>
        <v>0</v>
      </c>
      <c r="D563" s="202"/>
    </row>
    <row r="564" spans="1:4" ht="14.25">
      <c r="A564" s="207" t="s">
        <v>739</v>
      </c>
      <c r="B564" s="201"/>
      <c r="C564" s="199">
        <f t="shared" si="8"/>
        <v>0</v>
      </c>
      <c r="D564" s="202"/>
    </row>
    <row r="565" spans="1:4" ht="14.25">
      <c r="A565" s="207" t="s">
        <v>740</v>
      </c>
      <c r="B565" s="201">
        <v>900</v>
      </c>
      <c r="C565" s="199">
        <f t="shared" si="8"/>
        <v>900</v>
      </c>
      <c r="D565" s="202"/>
    </row>
    <row r="566" spans="1:4" ht="14.25">
      <c r="A566" s="215" t="s">
        <v>741</v>
      </c>
      <c r="B566" s="201">
        <f>SUM(B567:B576)</f>
        <v>869</v>
      </c>
      <c r="C566" s="199">
        <f t="shared" si="8"/>
        <v>839</v>
      </c>
      <c r="D566" s="202">
        <f>SUM(D567:D576)</f>
        <v>30</v>
      </c>
    </row>
    <row r="567" spans="1:4" ht="14.25">
      <c r="A567" s="207" t="s">
        <v>355</v>
      </c>
      <c r="B567" s="201">
        <v>530</v>
      </c>
      <c r="C567" s="199">
        <f t="shared" si="8"/>
        <v>530</v>
      </c>
      <c r="D567" s="202"/>
    </row>
    <row r="568" spans="1:4" ht="14.25">
      <c r="A568" s="207" t="s">
        <v>356</v>
      </c>
      <c r="B568" s="201">
        <v>35</v>
      </c>
      <c r="C568" s="199">
        <f t="shared" si="8"/>
        <v>35</v>
      </c>
      <c r="D568" s="202"/>
    </row>
    <row r="569" spans="1:4" ht="14.25">
      <c r="A569" s="207" t="s">
        <v>357</v>
      </c>
      <c r="B569" s="201"/>
      <c r="C569" s="199">
        <f t="shared" si="8"/>
        <v>0</v>
      </c>
      <c r="D569" s="202"/>
    </row>
    <row r="570" spans="1:4" ht="14.25">
      <c r="A570" s="207" t="s">
        <v>742</v>
      </c>
      <c r="B570" s="201">
        <v>85</v>
      </c>
      <c r="C570" s="199">
        <f t="shared" si="8"/>
        <v>85</v>
      </c>
      <c r="D570" s="202"/>
    </row>
    <row r="571" spans="1:4" ht="14.25">
      <c r="A571" s="207" t="s">
        <v>743</v>
      </c>
      <c r="B571" s="201">
        <v>43</v>
      </c>
      <c r="C571" s="199">
        <f t="shared" si="8"/>
        <v>43</v>
      </c>
      <c r="D571" s="202"/>
    </row>
    <row r="572" spans="1:4" ht="14.25">
      <c r="A572" s="207" t="s">
        <v>744</v>
      </c>
      <c r="B572" s="201">
        <v>2</v>
      </c>
      <c r="C572" s="199">
        <f t="shared" si="8"/>
        <v>2</v>
      </c>
      <c r="D572" s="202"/>
    </row>
    <row r="573" spans="1:4" ht="14.25">
      <c r="A573" s="207" t="s">
        <v>745</v>
      </c>
      <c r="B573" s="201">
        <v>72</v>
      </c>
      <c r="C573" s="199">
        <f t="shared" si="8"/>
        <v>56</v>
      </c>
      <c r="D573" s="202">
        <v>16</v>
      </c>
    </row>
    <row r="574" spans="1:4" ht="14.25">
      <c r="A574" s="207" t="s">
        <v>746</v>
      </c>
      <c r="B574" s="201">
        <v>3</v>
      </c>
      <c r="C574" s="199">
        <f t="shared" si="8"/>
        <v>3</v>
      </c>
      <c r="D574" s="202"/>
    </row>
    <row r="575" spans="1:4" ht="14.25">
      <c r="A575" s="207" t="s">
        <v>747</v>
      </c>
      <c r="B575" s="201"/>
      <c r="C575" s="199">
        <f t="shared" si="8"/>
        <v>0</v>
      </c>
      <c r="D575" s="202"/>
    </row>
    <row r="576" spans="1:4" ht="14.25">
      <c r="A576" s="207" t="s">
        <v>748</v>
      </c>
      <c r="B576" s="201">
        <v>99</v>
      </c>
      <c r="C576" s="199">
        <f t="shared" si="8"/>
        <v>85</v>
      </c>
      <c r="D576" s="202">
        <v>14</v>
      </c>
    </row>
    <row r="577" spans="1:4" ht="14.25">
      <c r="A577" s="215" t="s">
        <v>749</v>
      </c>
      <c r="B577" s="201">
        <f>SUM(B578:B584)</f>
        <v>47814</v>
      </c>
      <c r="C577" s="199">
        <f t="shared" si="8"/>
        <v>9692</v>
      </c>
      <c r="D577" s="202">
        <f>SUM(D578:D584)</f>
        <v>38122</v>
      </c>
    </row>
    <row r="578" spans="1:4" ht="14.25">
      <c r="A578" s="207" t="s">
        <v>750</v>
      </c>
      <c r="B578" s="201">
        <f>8000+38150+1664</f>
        <v>47814</v>
      </c>
      <c r="C578" s="199">
        <f t="shared" si="8"/>
        <v>9692</v>
      </c>
      <c r="D578" s="202">
        <v>38122</v>
      </c>
    </row>
    <row r="579" spans="1:4" ht="14.25">
      <c r="A579" s="207" t="s">
        <v>751</v>
      </c>
      <c r="B579" s="201"/>
      <c r="C579" s="199">
        <f t="shared" si="8"/>
        <v>0</v>
      </c>
      <c r="D579" s="202"/>
    </row>
    <row r="580" spans="1:4" ht="14.25">
      <c r="A580" s="207" t="s">
        <v>752</v>
      </c>
      <c r="B580" s="201"/>
      <c r="C580" s="199">
        <f t="shared" si="8"/>
        <v>0</v>
      </c>
      <c r="D580" s="202"/>
    </row>
    <row r="581" spans="1:4" ht="14.25">
      <c r="A581" s="207" t="s">
        <v>753</v>
      </c>
      <c r="B581" s="201"/>
      <c r="C581" s="199">
        <f t="shared" si="8"/>
        <v>0</v>
      </c>
      <c r="D581" s="202"/>
    </row>
    <row r="582" spans="1:4" ht="14.25">
      <c r="A582" s="207" t="s">
        <v>754</v>
      </c>
      <c r="B582" s="201"/>
      <c r="C582" s="199">
        <f t="shared" si="8"/>
        <v>0</v>
      </c>
      <c r="D582" s="202"/>
    </row>
    <row r="583" spans="1:4" ht="14.25">
      <c r="A583" s="207" t="s">
        <v>755</v>
      </c>
      <c r="B583" s="201"/>
      <c r="C583" s="199">
        <f aca="true" t="shared" si="9" ref="C583:C646">B583-D583</f>
        <v>0</v>
      </c>
      <c r="D583" s="202"/>
    </row>
    <row r="584" spans="1:4" ht="14.25">
      <c r="A584" s="207" t="s">
        <v>756</v>
      </c>
      <c r="B584" s="201"/>
      <c r="C584" s="199">
        <f t="shared" si="9"/>
        <v>0</v>
      </c>
      <c r="D584" s="202"/>
    </row>
    <row r="585" spans="1:4" ht="14.25">
      <c r="A585" s="215" t="s">
        <v>757</v>
      </c>
      <c r="B585" s="201">
        <f>SUM(B586:B590)</f>
        <v>2381</v>
      </c>
      <c r="C585" s="199">
        <f t="shared" si="9"/>
        <v>2381</v>
      </c>
      <c r="D585" s="202">
        <f>SUM(D586:D590)</f>
        <v>0</v>
      </c>
    </row>
    <row r="586" spans="1:4" ht="14.25">
      <c r="A586" s="207" t="s">
        <v>758</v>
      </c>
      <c r="B586" s="201">
        <v>1373</v>
      </c>
      <c r="C586" s="199">
        <f t="shared" si="9"/>
        <v>1373</v>
      </c>
      <c r="D586" s="202"/>
    </row>
    <row r="587" spans="1:4" ht="14.25">
      <c r="A587" s="207" t="s">
        <v>759</v>
      </c>
      <c r="B587" s="201">
        <f>108+900</f>
        <v>1008</v>
      </c>
      <c r="C587" s="199">
        <f t="shared" si="9"/>
        <v>1008</v>
      </c>
      <c r="D587" s="202"/>
    </row>
    <row r="588" spans="1:4" ht="14.25">
      <c r="A588" s="207" t="s">
        <v>760</v>
      </c>
      <c r="B588" s="201"/>
      <c r="C588" s="199">
        <f t="shared" si="9"/>
        <v>0</v>
      </c>
      <c r="D588" s="202"/>
    </row>
    <row r="589" spans="1:4" ht="14.25">
      <c r="A589" s="207" t="s">
        <v>761</v>
      </c>
      <c r="B589" s="201"/>
      <c r="C589" s="199">
        <f t="shared" si="9"/>
        <v>0</v>
      </c>
      <c r="D589" s="202"/>
    </row>
    <row r="590" spans="1:4" ht="14.25">
      <c r="A590" s="207" t="s">
        <v>762</v>
      </c>
      <c r="B590" s="201"/>
      <c r="C590" s="199">
        <f t="shared" si="9"/>
        <v>0</v>
      </c>
      <c r="D590" s="202"/>
    </row>
    <row r="591" spans="1:4" ht="14.25">
      <c r="A591" s="215" t="s">
        <v>763</v>
      </c>
      <c r="B591" s="201">
        <f>SUM(B592:B594)</f>
        <v>15273</v>
      </c>
      <c r="C591" s="199">
        <f t="shared" si="9"/>
        <v>15273</v>
      </c>
      <c r="D591" s="202">
        <f>SUM(D592:D594)</f>
        <v>0</v>
      </c>
    </row>
    <row r="592" spans="1:4" ht="14.25">
      <c r="A592" s="207" t="s">
        <v>764</v>
      </c>
      <c r="B592" s="201">
        <v>15273</v>
      </c>
      <c r="C592" s="199">
        <f t="shared" si="9"/>
        <v>15273</v>
      </c>
      <c r="D592" s="202"/>
    </row>
    <row r="593" spans="1:4" ht="14.25">
      <c r="A593" s="207" t="s">
        <v>765</v>
      </c>
      <c r="B593" s="201"/>
      <c r="C593" s="199">
        <f t="shared" si="9"/>
        <v>0</v>
      </c>
      <c r="D593" s="202"/>
    </row>
    <row r="594" spans="1:4" ht="14.25">
      <c r="A594" s="207" t="s">
        <v>766</v>
      </c>
      <c r="B594" s="201"/>
      <c r="C594" s="199">
        <f t="shared" si="9"/>
        <v>0</v>
      </c>
      <c r="D594" s="202"/>
    </row>
    <row r="595" spans="1:4" ht="14.25">
      <c r="A595" s="215" t="s">
        <v>767</v>
      </c>
      <c r="B595" s="201">
        <f>SUM(B596:B605)</f>
        <v>11600</v>
      </c>
      <c r="C595" s="199">
        <f t="shared" si="9"/>
        <v>5498</v>
      </c>
      <c r="D595" s="202">
        <f>SUM(D596:D605)</f>
        <v>6102</v>
      </c>
    </row>
    <row r="596" spans="1:4" ht="14.25">
      <c r="A596" s="207" t="s">
        <v>768</v>
      </c>
      <c r="B596" s="201">
        <v>300</v>
      </c>
      <c r="C596" s="199">
        <f t="shared" si="9"/>
        <v>300</v>
      </c>
      <c r="D596" s="202"/>
    </row>
    <row r="597" spans="1:4" ht="14.25">
      <c r="A597" s="207" t="s">
        <v>769</v>
      </c>
      <c r="B597" s="201">
        <v>700</v>
      </c>
      <c r="C597" s="199">
        <f t="shared" si="9"/>
        <v>200</v>
      </c>
      <c r="D597" s="202">
        <v>500</v>
      </c>
    </row>
    <row r="598" spans="1:4" ht="14.25">
      <c r="A598" s="207" t="s">
        <v>770</v>
      </c>
      <c r="B598" s="201">
        <v>9000</v>
      </c>
      <c r="C598" s="199">
        <f t="shared" si="9"/>
        <v>3698</v>
      </c>
      <c r="D598" s="202">
        <v>5302</v>
      </c>
    </row>
    <row r="599" spans="1:4" ht="14.25">
      <c r="A599" s="207" t="s">
        <v>771</v>
      </c>
      <c r="B599" s="201">
        <v>400</v>
      </c>
      <c r="C599" s="199">
        <f t="shared" si="9"/>
        <v>300</v>
      </c>
      <c r="D599" s="202">
        <v>100</v>
      </c>
    </row>
    <row r="600" spans="1:4" ht="14.25">
      <c r="A600" s="207" t="s">
        <v>772</v>
      </c>
      <c r="B600" s="201">
        <v>50</v>
      </c>
      <c r="C600" s="199">
        <f t="shared" si="9"/>
        <v>50</v>
      </c>
      <c r="D600" s="202"/>
    </row>
    <row r="601" spans="1:4" ht="14.25">
      <c r="A601" s="207" t="s">
        <v>773</v>
      </c>
      <c r="B601" s="201"/>
      <c r="C601" s="199">
        <f t="shared" si="9"/>
        <v>0</v>
      </c>
      <c r="D601" s="202"/>
    </row>
    <row r="602" spans="1:4" ht="14.25">
      <c r="A602" s="207" t="s">
        <v>774</v>
      </c>
      <c r="B602" s="201">
        <v>150</v>
      </c>
      <c r="C602" s="199">
        <f t="shared" si="9"/>
        <v>150</v>
      </c>
      <c r="D602" s="202"/>
    </row>
    <row r="603" spans="1:4" ht="14.25">
      <c r="A603" s="207" t="s">
        <v>775</v>
      </c>
      <c r="B603" s="201"/>
      <c r="C603" s="199">
        <f t="shared" si="9"/>
        <v>0</v>
      </c>
      <c r="D603" s="202"/>
    </row>
    <row r="604" spans="1:4" ht="14.25">
      <c r="A604" s="207" t="s">
        <v>776</v>
      </c>
      <c r="B604" s="201"/>
      <c r="C604" s="199">
        <f t="shared" si="9"/>
        <v>0</v>
      </c>
      <c r="D604" s="202"/>
    </row>
    <row r="605" spans="1:4" ht="14.25">
      <c r="A605" s="207" t="s">
        <v>777</v>
      </c>
      <c r="B605" s="201">
        <v>1000</v>
      </c>
      <c r="C605" s="199">
        <f t="shared" si="9"/>
        <v>800</v>
      </c>
      <c r="D605" s="202">
        <v>200</v>
      </c>
    </row>
    <row r="606" spans="1:4" ht="14.25">
      <c r="A606" s="215" t="s">
        <v>778</v>
      </c>
      <c r="B606" s="201">
        <f>SUM(B607:B613)</f>
        <v>1895</v>
      </c>
      <c r="C606" s="199">
        <f t="shared" si="9"/>
        <v>1607</v>
      </c>
      <c r="D606" s="202">
        <f>SUM(D607:D613)</f>
        <v>288</v>
      </c>
    </row>
    <row r="607" spans="1:4" ht="14.25">
      <c r="A607" s="207" t="s">
        <v>779</v>
      </c>
      <c r="B607" s="201">
        <v>1002</v>
      </c>
      <c r="C607" s="199">
        <f t="shared" si="9"/>
        <v>1002</v>
      </c>
      <c r="D607" s="202"/>
    </row>
    <row r="608" spans="1:4" ht="14.25">
      <c r="A608" s="207" t="s">
        <v>780</v>
      </c>
      <c r="B608" s="201"/>
      <c r="C608" s="199">
        <f t="shared" si="9"/>
        <v>0</v>
      </c>
      <c r="D608" s="202"/>
    </row>
    <row r="609" spans="1:4" ht="14.25">
      <c r="A609" s="207" t="s">
        <v>781</v>
      </c>
      <c r="B609" s="201">
        <v>87</v>
      </c>
      <c r="C609" s="199">
        <f t="shared" si="9"/>
        <v>87</v>
      </c>
      <c r="D609" s="202"/>
    </row>
    <row r="610" spans="1:4" ht="14.25">
      <c r="A610" s="207" t="s">
        <v>782</v>
      </c>
      <c r="B610" s="201">
        <v>498</v>
      </c>
      <c r="C610" s="199">
        <f t="shared" si="9"/>
        <v>498</v>
      </c>
      <c r="D610" s="202"/>
    </row>
    <row r="611" spans="1:4" ht="14.25">
      <c r="A611" s="207" t="s">
        <v>783</v>
      </c>
      <c r="B611" s="201"/>
      <c r="C611" s="199">
        <f t="shared" si="9"/>
        <v>0</v>
      </c>
      <c r="D611" s="202"/>
    </row>
    <row r="612" spans="1:4" ht="14.25">
      <c r="A612" s="207" t="s">
        <v>784</v>
      </c>
      <c r="B612" s="201"/>
      <c r="C612" s="199">
        <f t="shared" si="9"/>
        <v>0</v>
      </c>
      <c r="D612" s="202"/>
    </row>
    <row r="613" spans="1:4" ht="14.25">
      <c r="A613" s="207" t="s">
        <v>785</v>
      </c>
      <c r="B613" s="201">
        <v>308</v>
      </c>
      <c r="C613" s="199">
        <f t="shared" si="9"/>
        <v>20</v>
      </c>
      <c r="D613" s="202">
        <v>288</v>
      </c>
    </row>
    <row r="614" spans="1:4" ht="14.25">
      <c r="A614" s="215" t="s">
        <v>786</v>
      </c>
      <c r="B614" s="201">
        <f>SUM(B615:B619)</f>
        <v>2547</v>
      </c>
      <c r="C614" s="199">
        <f t="shared" si="9"/>
        <v>1107</v>
      </c>
      <c r="D614" s="202">
        <f>SUM(D615:D619)</f>
        <v>1440</v>
      </c>
    </row>
    <row r="615" spans="1:4" ht="14.25">
      <c r="A615" s="207" t="s">
        <v>787</v>
      </c>
      <c r="B615" s="201"/>
      <c r="C615" s="199">
        <f t="shared" si="9"/>
        <v>0</v>
      </c>
      <c r="D615" s="202"/>
    </row>
    <row r="616" spans="1:4" ht="14.25">
      <c r="A616" s="207" t="s">
        <v>788</v>
      </c>
      <c r="B616" s="201">
        <f>1000+969</f>
        <v>1969</v>
      </c>
      <c r="C616" s="199">
        <f t="shared" si="9"/>
        <v>877</v>
      </c>
      <c r="D616" s="202">
        <v>1092</v>
      </c>
    </row>
    <row r="617" spans="1:4" ht="14.25">
      <c r="A617" s="207" t="s">
        <v>789</v>
      </c>
      <c r="B617" s="201">
        <v>568</v>
      </c>
      <c r="C617" s="199">
        <f t="shared" si="9"/>
        <v>220</v>
      </c>
      <c r="D617" s="202">
        <v>348</v>
      </c>
    </row>
    <row r="618" spans="1:4" ht="14.25">
      <c r="A618" s="207" t="s">
        <v>790</v>
      </c>
      <c r="B618" s="201"/>
      <c r="C618" s="199">
        <f t="shared" si="9"/>
        <v>0</v>
      </c>
      <c r="D618" s="202"/>
    </row>
    <row r="619" spans="1:4" ht="14.25">
      <c r="A619" s="207" t="s">
        <v>791</v>
      </c>
      <c r="B619" s="201">
        <v>10</v>
      </c>
      <c r="C619" s="199">
        <f t="shared" si="9"/>
        <v>10</v>
      </c>
      <c r="D619" s="202"/>
    </row>
    <row r="620" spans="1:4" ht="14.25">
      <c r="A620" s="215" t="s">
        <v>792</v>
      </c>
      <c r="B620" s="201">
        <f>SUM(B621:B626)</f>
        <v>219</v>
      </c>
      <c r="C620" s="199">
        <f t="shared" si="9"/>
        <v>46</v>
      </c>
      <c r="D620" s="202">
        <f>SUM(D621:D626)</f>
        <v>173</v>
      </c>
    </row>
    <row r="621" spans="1:4" ht="14.25">
      <c r="A621" s="207" t="s">
        <v>793</v>
      </c>
      <c r="B621" s="201">
        <v>46</v>
      </c>
      <c r="C621" s="199">
        <f t="shared" si="9"/>
        <v>23</v>
      </c>
      <c r="D621" s="202">
        <v>23</v>
      </c>
    </row>
    <row r="622" spans="1:4" ht="14.25">
      <c r="A622" s="207" t="s">
        <v>794</v>
      </c>
      <c r="B622" s="201"/>
      <c r="C622" s="199">
        <f t="shared" si="9"/>
        <v>0</v>
      </c>
      <c r="D622" s="202"/>
    </row>
    <row r="623" spans="1:4" ht="14.25">
      <c r="A623" s="207" t="s">
        <v>795</v>
      </c>
      <c r="B623" s="201"/>
      <c r="C623" s="199">
        <f t="shared" si="9"/>
        <v>0</v>
      </c>
      <c r="D623" s="202"/>
    </row>
    <row r="624" spans="1:4" ht="14.25">
      <c r="A624" s="207" t="s">
        <v>796</v>
      </c>
      <c r="B624" s="201">
        <v>173</v>
      </c>
      <c r="C624" s="199">
        <f t="shared" si="9"/>
        <v>23</v>
      </c>
      <c r="D624" s="202">
        <v>150</v>
      </c>
    </row>
    <row r="625" spans="1:4" ht="14.25">
      <c r="A625" s="207" t="s">
        <v>797</v>
      </c>
      <c r="B625" s="201"/>
      <c r="C625" s="199">
        <f t="shared" si="9"/>
        <v>0</v>
      </c>
      <c r="D625" s="202"/>
    </row>
    <row r="626" spans="1:4" ht="14.25">
      <c r="A626" s="207" t="s">
        <v>798</v>
      </c>
      <c r="B626" s="201"/>
      <c r="C626" s="199">
        <f t="shared" si="9"/>
        <v>0</v>
      </c>
      <c r="D626" s="202"/>
    </row>
    <row r="627" spans="1:4" ht="14.25">
      <c r="A627" s="215" t="s">
        <v>799</v>
      </c>
      <c r="B627" s="201">
        <f>SUM(B628:B634)</f>
        <v>2227</v>
      </c>
      <c r="C627" s="199">
        <f t="shared" si="9"/>
        <v>2152</v>
      </c>
      <c r="D627" s="202">
        <f>SUM(D628:D634)</f>
        <v>75</v>
      </c>
    </row>
    <row r="628" spans="1:4" ht="14.25">
      <c r="A628" s="207" t="s">
        <v>355</v>
      </c>
      <c r="B628" s="201">
        <v>261</v>
      </c>
      <c r="C628" s="199">
        <f t="shared" si="9"/>
        <v>261</v>
      </c>
      <c r="D628" s="202"/>
    </row>
    <row r="629" spans="1:4" ht="14.25">
      <c r="A629" s="207" t="s">
        <v>356</v>
      </c>
      <c r="B629" s="201"/>
      <c r="C629" s="199">
        <f t="shared" si="9"/>
        <v>0</v>
      </c>
      <c r="D629" s="202"/>
    </row>
    <row r="630" spans="1:4" ht="14.25">
      <c r="A630" s="207" t="s">
        <v>357</v>
      </c>
      <c r="B630" s="201"/>
      <c r="C630" s="199">
        <f t="shared" si="9"/>
        <v>0</v>
      </c>
      <c r="D630" s="202"/>
    </row>
    <row r="631" spans="1:4" ht="14.25">
      <c r="A631" s="207" t="s">
        <v>800</v>
      </c>
      <c r="B631" s="201">
        <v>40</v>
      </c>
      <c r="C631" s="199">
        <f t="shared" si="9"/>
        <v>40</v>
      </c>
      <c r="D631" s="202"/>
    </row>
    <row r="632" spans="1:4" ht="14.25">
      <c r="A632" s="207" t="s">
        <v>801</v>
      </c>
      <c r="B632" s="201">
        <v>15</v>
      </c>
      <c r="C632" s="199">
        <f t="shared" si="9"/>
        <v>15</v>
      </c>
      <c r="D632" s="202"/>
    </row>
    <row r="633" spans="1:4" ht="14.25">
      <c r="A633" s="207" t="s">
        <v>802</v>
      </c>
      <c r="B633" s="201">
        <v>25</v>
      </c>
      <c r="C633" s="199">
        <f t="shared" si="9"/>
        <v>17</v>
      </c>
      <c r="D633" s="202">
        <v>8</v>
      </c>
    </row>
    <row r="634" spans="1:4" ht="14.25">
      <c r="A634" s="207" t="s">
        <v>803</v>
      </c>
      <c r="B634" s="201">
        <f>800+1086</f>
        <v>1886</v>
      </c>
      <c r="C634" s="199">
        <f t="shared" si="9"/>
        <v>1819</v>
      </c>
      <c r="D634" s="202">
        <v>67</v>
      </c>
    </row>
    <row r="635" spans="1:4" ht="14.25">
      <c r="A635" s="215" t="s">
        <v>804</v>
      </c>
      <c r="B635" s="201">
        <f>SUM(B636:B639)</f>
        <v>7</v>
      </c>
      <c r="C635" s="199">
        <f t="shared" si="9"/>
        <v>7</v>
      </c>
      <c r="D635" s="202">
        <f>SUM(D636:D639)</f>
        <v>0</v>
      </c>
    </row>
    <row r="636" spans="1:4" ht="14.25">
      <c r="A636" s="207" t="s">
        <v>805</v>
      </c>
      <c r="B636" s="201"/>
      <c r="C636" s="199">
        <f t="shared" si="9"/>
        <v>0</v>
      </c>
      <c r="D636" s="202"/>
    </row>
    <row r="637" spans="1:4" ht="14.25">
      <c r="A637" s="207" t="s">
        <v>806</v>
      </c>
      <c r="B637" s="201"/>
      <c r="C637" s="199">
        <f t="shared" si="9"/>
        <v>0</v>
      </c>
      <c r="D637" s="202"/>
    </row>
    <row r="638" spans="1:4" ht="14.25">
      <c r="A638" s="207" t="s">
        <v>807</v>
      </c>
      <c r="B638" s="201"/>
      <c r="C638" s="199">
        <f t="shared" si="9"/>
        <v>0</v>
      </c>
      <c r="D638" s="202"/>
    </row>
    <row r="639" spans="1:4" ht="14.25">
      <c r="A639" s="207" t="s">
        <v>808</v>
      </c>
      <c r="B639" s="201">
        <v>7</v>
      </c>
      <c r="C639" s="199">
        <f t="shared" si="9"/>
        <v>7</v>
      </c>
      <c r="D639" s="202"/>
    </row>
    <row r="640" spans="1:4" ht="14.25">
      <c r="A640" s="215" t="s">
        <v>809</v>
      </c>
      <c r="B640" s="201">
        <f>SUM(B641:B644)</f>
        <v>135</v>
      </c>
      <c r="C640" s="199">
        <f t="shared" si="9"/>
        <v>135</v>
      </c>
      <c r="D640" s="202">
        <f>SUM(D641:D644)</f>
        <v>0</v>
      </c>
    </row>
    <row r="641" spans="1:4" ht="14.25">
      <c r="A641" s="207" t="s">
        <v>355</v>
      </c>
      <c r="B641" s="201">
        <v>135</v>
      </c>
      <c r="C641" s="199">
        <f t="shared" si="9"/>
        <v>135</v>
      </c>
      <c r="D641" s="202"/>
    </row>
    <row r="642" spans="1:4" ht="14.25">
      <c r="A642" s="207" t="s">
        <v>356</v>
      </c>
      <c r="B642" s="201"/>
      <c r="C642" s="199">
        <f t="shared" si="9"/>
        <v>0</v>
      </c>
      <c r="D642" s="202"/>
    </row>
    <row r="643" spans="1:4" ht="14.25">
      <c r="A643" s="207" t="s">
        <v>357</v>
      </c>
      <c r="B643" s="201"/>
      <c r="C643" s="199">
        <f t="shared" si="9"/>
        <v>0</v>
      </c>
      <c r="D643" s="202"/>
    </row>
    <row r="644" spans="1:4" ht="14.25">
      <c r="A644" s="207" t="s">
        <v>810</v>
      </c>
      <c r="B644" s="201"/>
      <c r="C644" s="199">
        <f t="shared" si="9"/>
        <v>0</v>
      </c>
      <c r="D644" s="202"/>
    </row>
    <row r="645" spans="1:4" ht="14.25">
      <c r="A645" s="215" t="s">
        <v>811</v>
      </c>
      <c r="B645" s="201">
        <f>SUM(B646:B647)</f>
        <v>32</v>
      </c>
      <c r="C645" s="199">
        <f t="shared" si="9"/>
        <v>32</v>
      </c>
      <c r="D645" s="202">
        <f>SUM(D646:D647)</f>
        <v>0</v>
      </c>
    </row>
    <row r="646" spans="1:4" ht="14.25">
      <c r="A646" s="207" t="s">
        <v>812</v>
      </c>
      <c r="B646" s="201">
        <v>32</v>
      </c>
      <c r="C646" s="199">
        <f t="shared" si="9"/>
        <v>32</v>
      </c>
      <c r="D646" s="202"/>
    </row>
    <row r="647" spans="1:4" ht="14.25">
      <c r="A647" s="207" t="s">
        <v>813</v>
      </c>
      <c r="B647" s="201"/>
      <c r="C647" s="199">
        <f aca="true" t="shared" si="10" ref="C647:C710">B647-D647</f>
        <v>0</v>
      </c>
      <c r="D647" s="202"/>
    </row>
    <row r="648" spans="1:4" ht="14.25">
      <c r="A648" s="215" t="s">
        <v>814</v>
      </c>
      <c r="B648" s="201">
        <f>SUM(B649:B650)</f>
        <v>400</v>
      </c>
      <c r="C648" s="199">
        <f t="shared" si="10"/>
        <v>125</v>
      </c>
      <c r="D648" s="202">
        <f>SUM(D649:D650)</f>
        <v>275</v>
      </c>
    </row>
    <row r="649" spans="1:4" ht="14.25">
      <c r="A649" s="207" t="s">
        <v>815</v>
      </c>
      <c r="B649" s="201"/>
      <c r="C649" s="199">
        <f t="shared" si="10"/>
        <v>0</v>
      </c>
      <c r="D649" s="202"/>
    </row>
    <row r="650" spans="1:4" ht="14.25">
      <c r="A650" s="207" t="s">
        <v>816</v>
      </c>
      <c r="B650" s="201">
        <v>400</v>
      </c>
      <c r="C650" s="199">
        <f t="shared" si="10"/>
        <v>125</v>
      </c>
      <c r="D650" s="202">
        <v>275</v>
      </c>
    </row>
    <row r="651" spans="1:4" ht="14.25">
      <c r="A651" s="215" t="s">
        <v>817</v>
      </c>
      <c r="B651" s="201">
        <f>SUM(B652:B653)</f>
        <v>0</v>
      </c>
      <c r="C651" s="199">
        <f t="shared" si="10"/>
        <v>0</v>
      </c>
      <c r="D651" s="202">
        <f>SUM(D652:D653)</f>
        <v>0</v>
      </c>
    </row>
    <row r="652" spans="1:4" ht="14.25">
      <c r="A652" s="207" t="s">
        <v>818</v>
      </c>
      <c r="B652" s="201"/>
      <c r="C652" s="199">
        <f t="shared" si="10"/>
        <v>0</v>
      </c>
      <c r="D652" s="202"/>
    </row>
    <row r="653" spans="1:4" ht="14.25">
      <c r="A653" s="207" t="s">
        <v>819</v>
      </c>
      <c r="B653" s="201"/>
      <c r="C653" s="199">
        <f t="shared" si="10"/>
        <v>0</v>
      </c>
      <c r="D653" s="202"/>
    </row>
    <row r="654" spans="1:4" ht="14.25">
      <c r="A654" s="215" t="s">
        <v>820</v>
      </c>
      <c r="B654" s="201">
        <f>SUM(B655:B656)</f>
        <v>0</v>
      </c>
      <c r="C654" s="199">
        <f t="shared" si="10"/>
        <v>0</v>
      </c>
      <c r="D654" s="202">
        <f>SUM(D655:D656)</f>
        <v>0</v>
      </c>
    </row>
    <row r="655" spans="1:4" ht="14.25">
      <c r="A655" s="207" t="s">
        <v>821</v>
      </c>
      <c r="B655" s="201"/>
      <c r="C655" s="199">
        <f t="shared" si="10"/>
        <v>0</v>
      </c>
      <c r="D655" s="202"/>
    </row>
    <row r="656" spans="1:4" ht="14.25">
      <c r="A656" s="207" t="s">
        <v>822</v>
      </c>
      <c r="B656" s="201"/>
      <c r="C656" s="199">
        <f t="shared" si="10"/>
        <v>0</v>
      </c>
      <c r="D656" s="202"/>
    </row>
    <row r="657" spans="1:4" ht="14.25">
      <c r="A657" s="215" t="s">
        <v>823</v>
      </c>
      <c r="B657" s="201">
        <f>SUM(B658:B659)</f>
        <v>0</v>
      </c>
      <c r="C657" s="199">
        <f t="shared" si="10"/>
        <v>0</v>
      </c>
      <c r="D657" s="202">
        <f>SUM(D658:D659)</f>
        <v>0</v>
      </c>
    </row>
    <row r="658" spans="1:4" ht="14.25">
      <c r="A658" s="207" t="s">
        <v>824</v>
      </c>
      <c r="B658" s="201"/>
      <c r="C658" s="199">
        <f t="shared" si="10"/>
        <v>0</v>
      </c>
      <c r="D658" s="202"/>
    </row>
    <row r="659" spans="1:4" ht="14.25">
      <c r="A659" s="207" t="s">
        <v>825</v>
      </c>
      <c r="B659" s="201"/>
      <c r="C659" s="199">
        <f t="shared" si="10"/>
        <v>0</v>
      </c>
      <c r="D659" s="202"/>
    </row>
    <row r="660" spans="1:4" ht="14.25">
      <c r="A660" s="215" t="s">
        <v>826</v>
      </c>
      <c r="B660" s="201">
        <f>SUM(B661)</f>
        <v>5398</v>
      </c>
      <c r="C660" s="199">
        <f t="shared" si="10"/>
        <v>4646</v>
      </c>
      <c r="D660" s="202">
        <f>SUM(D661)</f>
        <v>752</v>
      </c>
    </row>
    <row r="661" spans="1:4" ht="14.25">
      <c r="A661" s="207" t="s">
        <v>827</v>
      </c>
      <c r="B661" s="201">
        <f>120+836+316+126+4000</f>
        <v>5398</v>
      </c>
      <c r="C661" s="199">
        <f t="shared" si="10"/>
        <v>4646</v>
      </c>
      <c r="D661" s="202">
        <v>752</v>
      </c>
    </row>
    <row r="662" spans="1:4" ht="14.25">
      <c r="A662" s="215" t="s">
        <v>828</v>
      </c>
      <c r="B662" s="201">
        <f>SUM(B663,B668,B681,B685,B697,B707,B710,B714,B724)</f>
        <v>19983</v>
      </c>
      <c r="C662" s="199">
        <f t="shared" si="10"/>
        <v>14882</v>
      </c>
      <c r="D662" s="202">
        <f>SUM(D663,D668,D681,D685,D697,D707,D710,D714,D724)</f>
        <v>5101</v>
      </c>
    </row>
    <row r="663" spans="1:4" ht="14.25">
      <c r="A663" s="215" t="s">
        <v>829</v>
      </c>
      <c r="B663" s="201">
        <f>SUM(B664:B667)</f>
        <v>1232</v>
      </c>
      <c r="C663" s="199">
        <f t="shared" si="10"/>
        <v>1232</v>
      </c>
      <c r="D663" s="202">
        <f>SUM(D664:D667)</f>
        <v>0</v>
      </c>
    </row>
    <row r="664" spans="1:4" ht="14.25">
      <c r="A664" s="207" t="s">
        <v>355</v>
      </c>
      <c r="B664" s="201">
        <v>1227</v>
      </c>
      <c r="C664" s="199">
        <f t="shared" si="10"/>
        <v>1227</v>
      </c>
      <c r="D664" s="202"/>
    </row>
    <row r="665" spans="1:4" ht="14.25">
      <c r="A665" s="207" t="s">
        <v>356</v>
      </c>
      <c r="B665" s="201"/>
      <c r="C665" s="199">
        <f t="shared" si="10"/>
        <v>0</v>
      </c>
      <c r="D665" s="202"/>
    </row>
    <row r="666" spans="1:4" ht="14.25">
      <c r="A666" s="207" t="s">
        <v>357</v>
      </c>
      <c r="B666" s="201"/>
      <c r="C666" s="199">
        <f t="shared" si="10"/>
        <v>0</v>
      </c>
      <c r="D666" s="202"/>
    </row>
    <row r="667" spans="1:4" ht="14.25">
      <c r="A667" s="207" t="s">
        <v>830</v>
      </c>
      <c r="B667" s="201">
        <v>5</v>
      </c>
      <c r="C667" s="199">
        <f t="shared" si="10"/>
        <v>5</v>
      </c>
      <c r="D667" s="202"/>
    </row>
    <row r="668" spans="1:4" ht="14.25">
      <c r="A668" s="215" t="s">
        <v>831</v>
      </c>
      <c r="B668" s="201">
        <f>SUM(B669:B680)</f>
        <v>3576</v>
      </c>
      <c r="C668" s="199">
        <f t="shared" si="10"/>
        <v>363</v>
      </c>
      <c r="D668" s="202">
        <f>SUM(D669:D680)</f>
        <v>3213</v>
      </c>
    </row>
    <row r="669" spans="1:4" ht="14.25">
      <c r="A669" s="207" t="s">
        <v>832</v>
      </c>
      <c r="B669" s="201">
        <f>3193-1600</f>
        <v>1593</v>
      </c>
      <c r="C669" s="199">
        <f t="shared" si="10"/>
        <v>35</v>
      </c>
      <c r="D669" s="202">
        <v>1558</v>
      </c>
    </row>
    <row r="670" spans="1:4" ht="14.25">
      <c r="A670" s="207" t="s">
        <v>833</v>
      </c>
      <c r="B670" s="201">
        <v>320</v>
      </c>
      <c r="C670" s="199">
        <f t="shared" si="10"/>
        <v>10</v>
      </c>
      <c r="D670" s="202">
        <v>310</v>
      </c>
    </row>
    <row r="671" spans="1:4" ht="14.25">
      <c r="A671" s="207" t="s">
        <v>834</v>
      </c>
      <c r="B671" s="201">
        <v>1148</v>
      </c>
      <c r="C671" s="199">
        <f t="shared" si="10"/>
        <v>46</v>
      </c>
      <c r="D671" s="202">
        <v>1102</v>
      </c>
    </row>
    <row r="672" spans="1:4" ht="14.25">
      <c r="A672" s="207" t="s">
        <v>835</v>
      </c>
      <c r="B672" s="201"/>
      <c r="C672" s="199">
        <f t="shared" si="10"/>
        <v>0</v>
      </c>
      <c r="D672" s="202"/>
    </row>
    <row r="673" spans="1:4" ht="14.25">
      <c r="A673" s="207" t="s">
        <v>836</v>
      </c>
      <c r="B673" s="201">
        <f>215+300</f>
        <v>515</v>
      </c>
      <c r="C673" s="199">
        <f t="shared" si="10"/>
        <v>272</v>
      </c>
      <c r="D673" s="202">
        <v>243</v>
      </c>
    </row>
    <row r="674" spans="1:4" ht="14.25">
      <c r="A674" s="207" t="s">
        <v>837</v>
      </c>
      <c r="B674" s="201"/>
      <c r="C674" s="199">
        <f t="shared" si="10"/>
        <v>0</v>
      </c>
      <c r="D674" s="202"/>
    </row>
    <row r="675" spans="1:4" ht="14.25">
      <c r="A675" s="207" t="s">
        <v>838</v>
      </c>
      <c r="B675" s="201"/>
      <c r="C675" s="199">
        <f t="shared" si="10"/>
        <v>0</v>
      </c>
      <c r="D675" s="202"/>
    </row>
    <row r="676" spans="1:4" ht="14.25">
      <c r="A676" s="207" t="s">
        <v>839</v>
      </c>
      <c r="B676" s="201"/>
      <c r="C676" s="199">
        <f t="shared" si="10"/>
        <v>0</v>
      </c>
      <c r="D676" s="202"/>
    </row>
    <row r="677" spans="1:4" ht="14.25">
      <c r="A677" s="207" t="s">
        <v>840</v>
      </c>
      <c r="B677" s="201"/>
      <c r="C677" s="199">
        <f t="shared" si="10"/>
        <v>0</v>
      </c>
      <c r="D677" s="202"/>
    </row>
    <row r="678" spans="1:4" ht="14.25">
      <c r="A678" s="207" t="s">
        <v>841</v>
      </c>
      <c r="B678" s="201"/>
      <c r="C678" s="199">
        <f t="shared" si="10"/>
        <v>0</v>
      </c>
      <c r="D678" s="202"/>
    </row>
    <row r="679" spans="1:4" ht="14.25">
      <c r="A679" s="207" t="s">
        <v>842</v>
      </c>
      <c r="B679" s="201"/>
      <c r="C679" s="199">
        <f t="shared" si="10"/>
        <v>0</v>
      </c>
      <c r="D679" s="202"/>
    </row>
    <row r="680" spans="1:4" ht="14.25">
      <c r="A680" s="207" t="s">
        <v>843</v>
      </c>
      <c r="B680" s="201"/>
      <c r="C680" s="199">
        <f t="shared" si="10"/>
        <v>0</v>
      </c>
      <c r="D680" s="202"/>
    </row>
    <row r="681" spans="1:4" ht="14.25">
      <c r="A681" s="215" t="s">
        <v>844</v>
      </c>
      <c r="B681" s="201">
        <f>SUM(B682:B684)</f>
        <v>0</v>
      </c>
      <c r="C681" s="199">
        <f t="shared" si="10"/>
        <v>0</v>
      </c>
      <c r="D681" s="202">
        <f>SUM(D682:D684)</f>
        <v>0</v>
      </c>
    </row>
    <row r="682" spans="1:4" ht="14.25">
      <c r="A682" s="207" t="s">
        <v>845</v>
      </c>
      <c r="B682" s="201"/>
      <c r="C682" s="199">
        <f t="shared" si="10"/>
        <v>0</v>
      </c>
      <c r="D682" s="202"/>
    </row>
    <row r="683" spans="1:4" ht="14.25">
      <c r="A683" s="207" t="s">
        <v>846</v>
      </c>
      <c r="B683" s="201"/>
      <c r="C683" s="199">
        <f t="shared" si="10"/>
        <v>0</v>
      </c>
      <c r="D683" s="202"/>
    </row>
    <row r="684" spans="1:4" ht="14.25">
      <c r="A684" s="207" t="s">
        <v>847</v>
      </c>
      <c r="B684" s="201"/>
      <c r="C684" s="199">
        <f t="shared" si="10"/>
        <v>0</v>
      </c>
      <c r="D684" s="202"/>
    </row>
    <row r="685" spans="1:4" ht="14.25">
      <c r="A685" s="215" t="s">
        <v>848</v>
      </c>
      <c r="B685" s="201">
        <f>SUM(B686:B696)</f>
        <v>3577</v>
      </c>
      <c r="C685" s="199">
        <f t="shared" si="10"/>
        <v>2657</v>
      </c>
      <c r="D685" s="202">
        <f>SUM(D686:D696)</f>
        <v>920</v>
      </c>
    </row>
    <row r="686" spans="1:4" ht="14.25">
      <c r="A686" s="207" t="s">
        <v>849</v>
      </c>
      <c r="B686" s="201">
        <v>860</v>
      </c>
      <c r="C686" s="199">
        <f t="shared" si="10"/>
        <v>492</v>
      </c>
      <c r="D686" s="202">
        <v>368</v>
      </c>
    </row>
    <row r="687" spans="1:4" ht="14.25">
      <c r="A687" s="207" t="s">
        <v>850</v>
      </c>
      <c r="B687" s="201">
        <v>288</v>
      </c>
      <c r="C687" s="199">
        <f t="shared" si="10"/>
        <v>288</v>
      </c>
      <c r="D687" s="202"/>
    </row>
    <row r="688" spans="1:4" ht="14.25">
      <c r="A688" s="207" t="s">
        <v>851</v>
      </c>
      <c r="B688" s="201">
        <v>580</v>
      </c>
      <c r="C688" s="199">
        <f t="shared" si="10"/>
        <v>580</v>
      </c>
      <c r="D688" s="202"/>
    </row>
    <row r="689" spans="1:4" ht="14.25">
      <c r="A689" s="207" t="s">
        <v>852</v>
      </c>
      <c r="B689" s="201"/>
      <c r="C689" s="199">
        <f t="shared" si="10"/>
        <v>0</v>
      </c>
      <c r="D689" s="202"/>
    </row>
    <row r="690" spans="1:4" ht="14.25">
      <c r="A690" s="207" t="s">
        <v>853</v>
      </c>
      <c r="B690" s="201">
        <v>101</v>
      </c>
      <c r="C690" s="199">
        <f t="shared" si="10"/>
        <v>101</v>
      </c>
      <c r="D690" s="202"/>
    </row>
    <row r="691" spans="1:4" ht="14.25">
      <c r="A691" s="207" t="s">
        <v>854</v>
      </c>
      <c r="B691" s="201">
        <v>212</v>
      </c>
      <c r="C691" s="199">
        <f t="shared" si="10"/>
        <v>212</v>
      </c>
      <c r="D691" s="202"/>
    </row>
    <row r="692" spans="1:4" ht="14.25">
      <c r="A692" s="207" t="s">
        <v>855</v>
      </c>
      <c r="B692" s="201"/>
      <c r="C692" s="199">
        <f t="shared" si="10"/>
        <v>0</v>
      </c>
      <c r="D692" s="202"/>
    </row>
    <row r="693" spans="1:4" ht="14.25">
      <c r="A693" s="207" t="s">
        <v>856</v>
      </c>
      <c r="B693" s="201"/>
      <c r="C693" s="199">
        <f t="shared" si="10"/>
        <v>0</v>
      </c>
      <c r="D693" s="202"/>
    </row>
    <row r="694" spans="1:4" ht="14.25">
      <c r="A694" s="207" t="s">
        <v>857</v>
      </c>
      <c r="B694" s="201">
        <f>163+573+800</f>
        <v>1536</v>
      </c>
      <c r="C694" s="199">
        <f t="shared" si="10"/>
        <v>984</v>
      </c>
      <c r="D694" s="202">
        <f>545+7</f>
        <v>552</v>
      </c>
    </row>
    <row r="695" spans="1:4" ht="14.25">
      <c r="A695" s="207" t="s">
        <v>858</v>
      </c>
      <c r="B695" s="201"/>
      <c r="C695" s="199">
        <f t="shared" si="10"/>
        <v>0</v>
      </c>
      <c r="D695" s="202"/>
    </row>
    <row r="696" spans="1:4" ht="14.25">
      <c r="A696" s="207" t="s">
        <v>859</v>
      </c>
      <c r="B696" s="201"/>
      <c r="C696" s="199">
        <f t="shared" si="10"/>
        <v>0</v>
      </c>
      <c r="D696" s="202"/>
    </row>
    <row r="697" spans="1:4" ht="14.25">
      <c r="A697" s="215" t="s">
        <v>860</v>
      </c>
      <c r="B697" s="201">
        <f>SUM(B698:B706)</f>
        <v>6521</v>
      </c>
      <c r="C697" s="199">
        <f t="shared" si="10"/>
        <v>6252</v>
      </c>
      <c r="D697" s="202">
        <f>SUM(D698:D706)</f>
        <v>269</v>
      </c>
    </row>
    <row r="698" spans="1:4" ht="14.25">
      <c r="A698" s="207" t="s">
        <v>861</v>
      </c>
      <c r="B698" s="201">
        <v>1236</v>
      </c>
      <c r="C698" s="199">
        <f t="shared" si="10"/>
        <v>1236</v>
      </c>
      <c r="D698" s="202"/>
    </row>
    <row r="699" spans="1:4" ht="14.25">
      <c r="A699" s="207" t="s">
        <v>862</v>
      </c>
      <c r="B699" s="201">
        <v>864</v>
      </c>
      <c r="C699" s="199">
        <f t="shared" si="10"/>
        <v>864</v>
      </c>
      <c r="D699" s="202"/>
    </row>
    <row r="700" spans="1:4" ht="14.25">
      <c r="A700" s="207" t="s">
        <v>863</v>
      </c>
      <c r="B700" s="201">
        <v>2158</v>
      </c>
      <c r="C700" s="199">
        <f t="shared" si="10"/>
        <v>2158</v>
      </c>
      <c r="D700" s="202"/>
    </row>
    <row r="701" spans="1:4" ht="14.25">
      <c r="A701" s="207" t="s">
        <v>864</v>
      </c>
      <c r="B701" s="201"/>
      <c r="C701" s="199">
        <f t="shared" si="10"/>
        <v>0</v>
      </c>
      <c r="D701" s="202"/>
    </row>
    <row r="702" spans="1:4" ht="14.25">
      <c r="A702" s="207" t="s">
        <v>865</v>
      </c>
      <c r="B702" s="201"/>
      <c r="C702" s="199">
        <f t="shared" si="10"/>
        <v>0</v>
      </c>
      <c r="D702" s="202"/>
    </row>
    <row r="703" spans="1:4" ht="14.25">
      <c r="A703" s="207" t="s">
        <v>866</v>
      </c>
      <c r="B703" s="201">
        <v>178</v>
      </c>
      <c r="C703" s="199">
        <f t="shared" si="10"/>
        <v>178</v>
      </c>
      <c r="D703" s="202"/>
    </row>
    <row r="704" spans="1:4" ht="14.25">
      <c r="A704" s="207" t="s">
        <v>867</v>
      </c>
      <c r="B704" s="201">
        <v>200</v>
      </c>
      <c r="C704" s="199">
        <f t="shared" si="10"/>
        <v>101</v>
      </c>
      <c r="D704" s="202">
        <f>21+78</f>
        <v>99</v>
      </c>
    </row>
    <row r="705" spans="1:4" ht="14.25">
      <c r="A705" s="207" t="s">
        <v>868</v>
      </c>
      <c r="B705" s="201">
        <v>217</v>
      </c>
      <c r="C705" s="199">
        <f t="shared" si="10"/>
        <v>87</v>
      </c>
      <c r="D705" s="202">
        <v>130</v>
      </c>
    </row>
    <row r="706" spans="1:4" ht="14.25">
      <c r="A706" s="207" t="s">
        <v>869</v>
      </c>
      <c r="B706" s="201">
        <v>1668</v>
      </c>
      <c r="C706" s="199">
        <f t="shared" si="10"/>
        <v>1628</v>
      </c>
      <c r="D706" s="202">
        <v>40</v>
      </c>
    </row>
    <row r="707" spans="1:4" ht="14.25">
      <c r="A707" s="215" t="s">
        <v>870</v>
      </c>
      <c r="B707" s="201">
        <f>SUM(B708:B709)</f>
        <v>0</v>
      </c>
      <c r="C707" s="199">
        <f t="shared" si="10"/>
        <v>0</v>
      </c>
      <c r="D707" s="202">
        <f>SUM(D708:D709)</f>
        <v>0</v>
      </c>
    </row>
    <row r="708" spans="1:4" ht="14.25">
      <c r="A708" s="207" t="s">
        <v>871</v>
      </c>
      <c r="B708" s="201"/>
      <c r="C708" s="199">
        <f t="shared" si="10"/>
        <v>0</v>
      </c>
      <c r="D708" s="202"/>
    </row>
    <row r="709" spans="1:4" ht="14.25">
      <c r="A709" s="207" t="s">
        <v>872</v>
      </c>
      <c r="B709" s="201"/>
      <c r="C709" s="199">
        <f t="shared" si="10"/>
        <v>0</v>
      </c>
      <c r="D709" s="202"/>
    </row>
    <row r="710" spans="1:4" ht="14.25">
      <c r="A710" s="215" t="s">
        <v>873</v>
      </c>
      <c r="B710" s="201">
        <f>SUM(B711:B713)</f>
        <v>2348</v>
      </c>
      <c r="C710" s="199">
        <f t="shared" si="10"/>
        <v>2000</v>
      </c>
      <c r="D710" s="202">
        <f>SUM(D711:D713)</f>
        <v>348</v>
      </c>
    </row>
    <row r="711" spans="1:4" ht="14.25">
      <c r="A711" s="207" t="s">
        <v>874</v>
      </c>
      <c r="B711" s="201">
        <v>688</v>
      </c>
      <c r="C711" s="199">
        <f aca="true" t="shared" si="11" ref="C711:C774">B711-D711</f>
        <v>688</v>
      </c>
      <c r="D711" s="202"/>
    </row>
    <row r="712" spans="1:4" ht="13.5" customHeight="1">
      <c r="A712" s="207" t="s">
        <v>875</v>
      </c>
      <c r="B712" s="201">
        <v>1480</v>
      </c>
      <c r="C712" s="199">
        <f t="shared" si="11"/>
        <v>1147</v>
      </c>
      <c r="D712" s="202">
        <v>333</v>
      </c>
    </row>
    <row r="713" spans="1:4" ht="13.5" customHeight="1">
      <c r="A713" s="207" t="s">
        <v>876</v>
      </c>
      <c r="B713" s="201">
        <v>180</v>
      </c>
      <c r="C713" s="199">
        <f t="shared" si="11"/>
        <v>165</v>
      </c>
      <c r="D713" s="202">
        <v>15</v>
      </c>
    </row>
    <row r="714" spans="1:4" ht="13.5" customHeight="1">
      <c r="A714" s="215" t="s">
        <v>877</v>
      </c>
      <c r="B714" s="201">
        <f>SUM(B715:B723)</f>
        <v>1823</v>
      </c>
      <c r="C714" s="199">
        <f t="shared" si="11"/>
        <v>1578</v>
      </c>
      <c r="D714" s="202">
        <f>SUM(D715:D723)</f>
        <v>245</v>
      </c>
    </row>
    <row r="715" spans="1:4" ht="13.5" customHeight="1">
      <c r="A715" s="207" t="s">
        <v>355</v>
      </c>
      <c r="B715" s="201">
        <v>809</v>
      </c>
      <c r="C715" s="199">
        <f t="shared" si="11"/>
        <v>731</v>
      </c>
      <c r="D715" s="202">
        <v>78</v>
      </c>
    </row>
    <row r="716" spans="1:4" ht="13.5" customHeight="1">
      <c r="A716" s="207" t="s">
        <v>356</v>
      </c>
      <c r="B716" s="201"/>
      <c r="C716" s="199">
        <f t="shared" si="11"/>
        <v>0</v>
      </c>
      <c r="D716" s="202"/>
    </row>
    <row r="717" spans="1:4" ht="13.5" customHeight="1">
      <c r="A717" s="207" t="s">
        <v>357</v>
      </c>
      <c r="B717" s="201"/>
      <c r="C717" s="199">
        <f t="shared" si="11"/>
        <v>0</v>
      </c>
      <c r="D717" s="202"/>
    </row>
    <row r="718" spans="1:4" ht="13.5" customHeight="1">
      <c r="A718" s="207" t="s">
        <v>878</v>
      </c>
      <c r="B718" s="201"/>
      <c r="C718" s="199">
        <f t="shared" si="11"/>
        <v>0</v>
      </c>
      <c r="D718" s="202"/>
    </row>
    <row r="719" spans="1:4" ht="13.5" customHeight="1">
      <c r="A719" s="207" t="s">
        <v>879</v>
      </c>
      <c r="B719" s="201"/>
      <c r="C719" s="199">
        <f t="shared" si="11"/>
        <v>0</v>
      </c>
      <c r="D719" s="202"/>
    </row>
    <row r="720" spans="1:4" ht="13.5" customHeight="1">
      <c r="A720" s="207" t="s">
        <v>880</v>
      </c>
      <c r="B720" s="201"/>
      <c r="C720" s="199">
        <f t="shared" si="11"/>
        <v>0</v>
      </c>
      <c r="D720" s="202"/>
    </row>
    <row r="721" spans="1:4" ht="13.5" customHeight="1">
      <c r="A721" s="207" t="s">
        <v>881</v>
      </c>
      <c r="B721" s="201">
        <f>590+211+104</f>
        <v>905</v>
      </c>
      <c r="C721" s="199">
        <f t="shared" si="11"/>
        <v>802</v>
      </c>
      <c r="D721" s="202">
        <v>103</v>
      </c>
    </row>
    <row r="722" spans="1:4" ht="13.5" customHeight="1">
      <c r="A722" s="207" t="s">
        <v>364</v>
      </c>
      <c r="B722" s="201">
        <v>41</v>
      </c>
      <c r="C722" s="199">
        <f t="shared" si="11"/>
        <v>41</v>
      </c>
      <c r="D722" s="202"/>
    </row>
    <row r="723" spans="1:4" ht="13.5" customHeight="1">
      <c r="A723" s="207" t="s">
        <v>882</v>
      </c>
      <c r="B723" s="201">
        <v>68</v>
      </c>
      <c r="C723" s="199">
        <f t="shared" si="11"/>
        <v>4</v>
      </c>
      <c r="D723" s="202">
        <v>64</v>
      </c>
    </row>
    <row r="724" spans="1:4" ht="13.5" customHeight="1">
      <c r="A724" s="215" t="s">
        <v>883</v>
      </c>
      <c r="B724" s="201">
        <f>SUM(B725)</f>
        <v>906</v>
      </c>
      <c r="C724" s="199">
        <f t="shared" si="11"/>
        <v>800</v>
      </c>
      <c r="D724" s="202">
        <f>SUM(D725)</f>
        <v>106</v>
      </c>
    </row>
    <row r="725" spans="1:4" ht="13.5" customHeight="1">
      <c r="A725" s="207" t="s">
        <v>884</v>
      </c>
      <c r="B725" s="201">
        <v>906</v>
      </c>
      <c r="C725" s="199">
        <f t="shared" si="11"/>
        <v>800</v>
      </c>
      <c r="D725" s="202">
        <v>106</v>
      </c>
    </row>
    <row r="726" spans="1:4" ht="13.5" customHeight="1">
      <c r="A726" s="215" t="s">
        <v>885</v>
      </c>
      <c r="B726" s="201">
        <f>SUM(B727,B736,B740,B749,B755,B761,B767,B770,B773:B775,B781:B783,B798)</f>
        <v>3297</v>
      </c>
      <c r="C726" s="199">
        <f t="shared" si="11"/>
        <v>2717</v>
      </c>
      <c r="D726" s="202">
        <f>SUM(D727,D736,D740,D749,D755,D761,D767,D770,D773:D775,D781:D783,D798)</f>
        <v>580</v>
      </c>
    </row>
    <row r="727" spans="1:4" ht="13.5" customHeight="1">
      <c r="A727" s="215" t="s">
        <v>886</v>
      </c>
      <c r="B727" s="201">
        <f>SUM(B728:B735)</f>
        <v>1294</v>
      </c>
      <c r="C727" s="199">
        <f t="shared" si="11"/>
        <v>1294</v>
      </c>
      <c r="D727" s="202">
        <f>SUM(D728:D735)</f>
        <v>0</v>
      </c>
    </row>
    <row r="728" spans="1:4" ht="13.5" customHeight="1">
      <c r="A728" s="207" t="s">
        <v>355</v>
      </c>
      <c r="B728" s="201">
        <v>1164</v>
      </c>
      <c r="C728" s="199">
        <f t="shared" si="11"/>
        <v>1164</v>
      </c>
      <c r="D728" s="202"/>
    </row>
    <row r="729" spans="1:4" ht="13.5" customHeight="1">
      <c r="A729" s="207" t="s">
        <v>356</v>
      </c>
      <c r="B729" s="201">
        <v>20</v>
      </c>
      <c r="C729" s="199">
        <f t="shared" si="11"/>
        <v>20</v>
      </c>
      <c r="D729" s="202"/>
    </row>
    <row r="730" spans="1:4" ht="13.5" customHeight="1">
      <c r="A730" s="207" t="s">
        <v>357</v>
      </c>
      <c r="B730" s="201"/>
      <c r="C730" s="199">
        <f t="shared" si="11"/>
        <v>0</v>
      </c>
      <c r="D730" s="202"/>
    </row>
    <row r="731" spans="1:4" ht="13.5" customHeight="1">
      <c r="A731" s="207" t="s">
        <v>887</v>
      </c>
      <c r="B731" s="201">
        <v>8</v>
      </c>
      <c r="C731" s="199">
        <f t="shared" si="11"/>
        <v>8</v>
      </c>
      <c r="D731" s="202"/>
    </row>
    <row r="732" spans="1:4" ht="13.5" customHeight="1">
      <c r="A732" s="207" t="s">
        <v>888</v>
      </c>
      <c r="B732" s="201"/>
      <c r="C732" s="199">
        <f t="shared" si="11"/>
        <v>0</v>
      </c>
      <c r="D732" s="202"/>
    </row>
    <row r="733" spans="1:4" ht="13.5" customHeight="1">
      <c r="A733" s="207" t="s">
        <v>889</v>
      </c>
      <c r="B733" s="201"/>
      <c r="C733" s="199">
        <f t="shared" si="11"/>
        <v>0</v>
      </c>
      <c r="D733" s="202"/>
    </row>
    <row r="734" spans="1:4" ht="13.5" customHeight="1">
      <c r="A734" s="207" t="s">
        <v>890</v>
      </c>
      <c r="B734" s="201"/>
      <c r="C734" s="199">
        <f t="shared" si="11"/>
        <v>0</v>
      </c>
      <c r="D734" s="202"/>
    </row>
    <row r="735" spans="1:4" ht="13.5" customHeight="1">
      <c r="A735" s="207" t="s">
        <v>891</v>
      </c>
      <c r="B735" s="201">
        <v>102</v>
      </c>
      <c r="C735" s="199">
        <f t="shared" si="11"/>
        <v>102</v>
      </c>
      <c r="D735" s="202"/>
    </row>
    <row r="736" spans="1:4" ht="13.5" customHeight="1">
      <c r="A736" s="215" t="s">
        <v>892</v>
      </c>
      <c r="B736" s="201">
        <f>SUM(B737:B739)</f>
        <v>533</v>
      </c>
      <c r="C736" s="199">
        <f t="shared" si="11"/>
        <v>408</v>
      </c>
      <c r="D736" s="202">
        <f>SUM(D737:D739)</f>
        <v>125</v>
      </c>
    </row>
    <row r="737" spans="1:4" ht="13.5" customHeight="1">
      <c r="A737" s="207" t="s">
        <v>893</v>
      </c>
      <c r="B737" s="201">
        <f>505</f>
        <v>505</v>
      </c>
      <c r="C737" s="199">
        <f t="shared" si="11"/>
        <v>380</v>
      </c>
      <c r="D737" s="202">
        <v>125</v>
      </c>
    </row>
    <row r="738" spans="1:4" ht="13.5" customHeight="1">
      <c r="A738" s="207" t="s">
        <v>894</v>
      </c>
      <c r="B738" s="201"/>
      <c r="C738" s="199">
        <f t="shared" si="11"/>
        <v>0</v>
      </c>
      <c r="D738" s="202"/>
    </row>
    <row r="739" spans="1:4" ht="13.5" customHeight="1">
      <c r="A739" s="207" t="s">
        <v>895</v>
      </c>
      <c r="B739" s="201">
        <v>28</v>
      </c>
      <c r="C739" s="199">
        <f t="shared" si="11"/>
        <v>28</v>
      </c>
      <c r="D739" s="202"/>
    </row>
    <row r="740" spans="1:4" ht="13.5" customHeight="1">
      <c r="A740" s="215" t="s">
        <v>896</v>
      </c>
      <c r="B740" s="201">
        <f>SUM(B741:B748)</f>
        <v>443</v>
      </c>
      <c r="C740" s="199">
        <f t="shared" si="11"/>
        <v>85</v>
      </c>
      <c r="D740" s="202">
        <f>SUM(D741:D748)</f>
        <v>358</v>
      </c>
    </row>
    <row r="741" spans="1:4" ht="13.5" customHeight="1">
      <c r="A741" s="207" t="s">
        <v>897</v>
      </c>
      <c r="B741" s="201"/>
      <c r="C741" s="199">
        <f t="shared" si="11"/>
        <v>0</v>
      </c>
      <c r="D741" s="202"/>
    </row>
    <row r="742" spans="1:4" ht="13.5" customHeight="1">
      <c r="A742" s="207" t="s">
        <v>898</v>
      </c>
      <c r="B742" s="201"/>
      <c r="C742" s="199">
        <f t="shared" si="11"/>
        <v>0</v>
      </c>
      <c r="D742" s="202"/>
    </row>
    <row r="743" spans="1:4" ht="13.5" customHeight="1">
      <c r="A743" s="207" t="s">
        <v>899</v>
      </c>
      <c r="B743" s="201"/>
      <c r="C743" s="199">
        <f t="shared" si="11"/>
        <v>0</v>
      </c>
      <c r="D743" s="202"/>
    </row>
    <row r="744" spans="1:4" ht="13.5" customHeight="1">
      <c r="A744" s="207" t="s">
        <v>900</v>
      </c>
      <c r="B744" s="201"/>
      <c r="C744" s="199">
        <f t="shared" si="11"/>
        <v>0</v>
      </c>
      <c r="D744" s="202"/>
    </row>
    <row r="745" spans="1:4" ht="13.5" customHeight="1">
      <c r="A745" s="207" t="s">
        <v>901</v>
      </c>
      <c r="B745" s="201"/>
      <c r="C745" s="199">
        <f t="shared" si="11"/>
        <v>0</v>
      </c>
      <c r="D745" s="202"/>
    </row>
    <row r="746" spans="1:4" ht="13.5" customHeight="1">
      <c r="A746" s="207" t="s">
        <v>902</v>
      </c>
      <c r="B746" s="201"/>
      <c r="C746" s="199">
        <f t="shared" si="11"/>
        <v>0</v>
      </c>
      <c r="D746" s="202"/>
    </row>
    <row r="747" spans="1:4" ht="13.5" customHeight="1">
      <c r="A747" s="207" t="s">
        <v>903</v>
      </c>
      <c r="B747" s="201">
        <v>441</v>
      </c>
      <c r="C747" s="199">
        <f t="shared" si="11"/>
        <v>83</v>
      </c>
      <c r="D747" s="202">
        <v>358</v>
      </c>
    </row>
    <row r="748" spans="1:4" ht="13.5" customHeight="1">
      <c r="A748" s="207" t="s">
        <v>904</v>
      </c>
      <c r="B748" s="201">
        <v>2</v>
      </c>
      <c r="C748" s="199">
        <f t="shared" si="11"/>
        <v>2</v>
      </c>
      <c r="D748" s="202"/>
    </row>
    <row r="749" spans="1:4" ht="13.5" customHeight="1">
      <c r="A749" s="215" t="s">
        <v>905</v>
      </c>
      <c r="B749" s="201">
        <f>SUM(B750:B754)</f>
        <v>0</v>
      </c>
      <c r="C749" s="199">
        <f t="shared" si="11"/>
        <v>0</v>
      </c>
      <c r="D749" s="202">
        <f>SUM(D750:D754)</f>
        <v>0</v>
      </c>
    </row>
    <row r="750" spans="1:4" ht="13.5" customHeight="1">
      <c r="A750" s="207" t="s">
        <v>906</v>
      </c>
      <c r="B750" s="201"/>
      <c r="C750" s="199">
        <f t="shared" si="11"/>
        <v>0</v>
      </c>
      <c r="D750" s="202"/>
    </row>
    <row r="751" spans="1:4" ht="13.5" customHeight="1">
      <c r="A751" s="207" t="s">
        <v>907</v>
      </c>
      <c r="B751" s="201"/>
      <c r="C751" s="199">
        <f t="shared" si="11"/>
        <v>0</v>
      </c>
      <c r="D751" s="202"/>
    </row>
    <row r="752" spans="1:4" ht="13.5" customHeight="1">
      <c r="A752" s="207" t="s">
        <v>908</v>
      </c>
      <c r="B752" s="201"/>
      <c r="C752" s="199">
        <f t="shared" si="11"/>
        <v>0</v>
      </c>
      <c r="D752" s="202"/>
    </row>
    <row r="753" spans="1:4" ht="13.5" customHeight="1">
      <c r="A753" s="207" t="s">
        <v>909</v>
      </c>
      <c r="B753" s="201"/>
      <c r="C753" s="199">
        <f t="shared" si="11"/>
        <v>0</v>
      </c>
      <c r="D753" s="202"/>
    </row>
    <row r="754" spans="1:4" ht="13.5" customHeight="1">
      <c r="A754" s="207" t="s">
        <v>910</v>
      </c>
      <c r="B754" s="201"/>
      <c r="C754" s="199">
        <f t="shared" si="11"/>
        <v>0</v>
      </c>
      <c r="D754" s="202"/>
    </row>
    <row r="755" spans="1:4" ht="13.5" customHeight="1">
      <c r="A755" s="215" t="s">
        <v>911</v>
      </c>
      <c r="B755" s="201">
        <f>SUM(B756:B760)</f>
        <v>0</v>
      </c>
      <c r="C755" s="199">
        <f t="shared" si="11"/>
        <v>0</v>
      </c>
      <c r="D755" s="202">
        <f>SUM(D756:D760)</f>
        <v>0</v>
      </c>
    </row>
    <row r="756" spans="1:4" ht="13.5" customHeight="1">
      <c r="A756" s="207" t="s">
        <v>912</v>
      </c>
      <c r="B756" s="201"/>
      <c r="C756" s="199">
        <f t="shared" si="11"/>
        <v>0</v>
      </c>
      <c r="D756" s="202"/>
    </row>
    <row r="757" spans="1:4" ht="13.5" customHeight="1">
      <c r="A757" s="207" t="s">
        <v>913</v>
      </c>
      <c r="B757" s="201"/>
      <c r="C757" s="199">
        <f t="shared" si="11"/>
        <v>0</v>
      </c>
      <c r="D757" s="202"/>
    </row>
    <row r="758" spans="1:4" ht="13.5" customHeight="1">
      <c r="A758" s="207" t="s">
        <v>914</v>
      </c>
      <c r="B758" s="201"/>
      <c r="C758" s="199">
        <f t="shared" si="11"/>
        <v>0</v>
      </c>
      <c r="D758" s="202"/>
    </row>
    <row r="759" spans="1:4" ht="13.5" customHeight="1">
      <c r="A759" s="207" t="s">
        <v>915</v>
      </c>
      <c r="B759" s="201"/>
      <c r="C759" s="199">
        <f t="shared" si="11"/>
        <v>0</v>
      </c>
      <c r="D759" s="202"/>
    </row>
    <row r="760" spans="1:4" ht="13.5" customHeight="1">
      <c r="A760" s="207" t="s">
        <v>916</v>
      </c>
      <c r="B760" s="201"/>
      <c r="C760" s="199">
        <f t="shared" si="11"/>
        <v>0</v>
      </c>
      <c r="D760" s="202"/>
    </row>
    <row r="761" spans="1:4" ht="13.5" customHeight="1">
      <c r="A761" s="215" t="s">
        <v>917</v>
      </c>
      <c r="B761" s="201">
        <f>SUM(B762:B766)</f>
        <v>0</v>
      </c>
      <c r="C761" s="199">
        <f t="shared" si="11"/>
        <v>0</v>
      </c>
      <c r="D761" s="202">
        <f>SUM(D762:D766)</f>
        <v>0</v>
      </c>
    </row>
    <row r="762" spans="1:4" ht="13.5" customHeight="1">
      <c r="A762" s="207" t="s">
        <v>918</v>
      </c>
      <c r="B762" s="201"/>
      <c r="C762" s="199">
        <f t="shared" si="11"/>
        <v>0</v>
      </c>
      <c r="D762" s="202"/>
    </row>
    <row r="763" spans="1:4" ht="13.5" customHeight="1">
      <c r="A763" s="207" t="s">
        <v>919</v>
      </c>
      <c r="B763" s="201"/>
      <c r="C763" s="199">
        <f t="shared" si="11"/>
        <v>0</v>
      </c>
      <c r="D763" s="202"/>
    </row>
    <row r="764" spans="1:4" ht="13.5" customHeight="1">
      <c r="A764" s="207" t="s">
        <v>920</v>
      </c>
      <c r="B764" s="201"/>
      <c r="C764" s="199">
        <f t="shared" si="11"/>
        <v>0</v>
      </c>
      <c r="D764" s="202"/>
    </row>
    <row r="765" spans="1:4" ht="13.5" customHeight="1">
      <c r="A765" s="207" t="s">
        <v>921</v>
      </c>
      <c r="B765" s="201"/>
      <c r="C765" s="199">
        <f t="shared" si="11"/>
        <v>0</v>
      </c>
      <c r="D765" s="202"/>
    </row>
    <row r="766" spans="1:4" ht="13.5" customHeight="1">
      <c r="A766" s="207" t="s">
        <v>922</v>
      </c>
      <c r="B766" s="201"/>
      <c r="C766" s="199">
        <f t="shared" si="11"/>
        <v>0</v>
      </c>
      <c r="D766" s="202"/>
    </row>
    <row r="767" spans="1:4" ht="13.5" customHeight="1">
      <c r="A767" s="215" t="s">
        <v>923</v>
      </c>
      <c r="B767" s="201">
        <f>SUM(B768:B769)</f>
        <v>0</v>
      </c>
      <c r="C767" s="199">
        <f t="shared" si="11"/>
        <v>0</v>
      </c>
      <c r="D767" s="202">
        <f>SUM(D768:D769)</f>
        <v>0</v>
      </c>
    </row>
    <row r="768" spans="1:4" ht="13.5" customHeight="1">
      <c r="A768" s="207" t="s">
        <v>924</v>
      </c>
      <c r="B768" s="201"/>
      <c r="C768" s="199">
        <f t="shared" si="11"/>
        <v>0</v>
      </c>
      <c r="D768" s="202"/>
    </row>
    <row r="769" spans="1:4" ht="13.5" customHeight="1">
      <c r="A769" s="207" t="s">
        <v>925</v>
      </c>
      <c r="B769" s="201"/>
      <c r="C769" s="199">
        <f t="shared" si="11"/>
        <v>0</v>
      </c>
      <c r="D769" s="202"/>
    </row>
    <row r="770" spans="1:4" ht="13.5" customHeight="1">
      <c r="A770" s="215" t="s">
        <v>926</v>
      </c>
      <c r="B770" s="201">
        <f>SUM(B771:B772)</f>
        <v>0</v>
      </c>
      <c r="C770" s="199">
        <f t="shared" si="11"/>
        <v>0</v>
      </c>
      <c r="D770" s="202">
        <f>SUM(D771:D772)</f>
        <v>0</v>
      </c>
    </row>
    <row r="771" spans="1:4" ht="13.5" customHeight="1">
      <c r="A771" s="207" t="s">
        <v>927</v>
      </c>
      <c r="B771" s="201"/>
      <c r="C771" s="199">
        <f t="shared" si="11"/>
        <v>0</v>
      </c>
      <c r="D771" s="202"/>
    </row>
    <row r="772" spans="1:4" ht="13.5" customHeight="1">
      <c r="A772" s="207" t="s">
        <v>928</v>
      </c>
      <c r="B772" s="201"/>
      <c r="C772" s="199">
        <f t="shared" si="11"/>
        <v>0</v>
      </c>
      <c r="D772" s="202"/>
    </row>
    <row r="773" spans="1:4" ht="13.5" customHeight="1">
      <c r="A773" s="207" t="s">
        <v>929</v>
      </c>
      <c r="B773" s="201"/>
      <c r="C773" s="199">
        <f t="shared" si="11"/>
        <v>0</v>
      </c>
      <c r="D773" s="202"/>
    </row>
    <row r="774" spans="1:4" ht="13.5" customHeight="1">
      <c r="A774" s="207" t="s">
        <v>930</v>
      </c>
      <c r="B774" s="201"/>
      <c r="C774" s="199">
        <f t="shared" si="11"/>
        <v>0</v>
      </c>
      <c r="D774" s="202"/>
    </row>
    <row r="775" spans="1:4" ht="13.5" customHeight="1">
      <c r="A775" s="215" t="s">
        <v>931</v>
      </c>
      <c r="B775" s="201">
        <f>SUM(B776:B780)</f>
        <v>968</v>
      </c>
      <c r="C775" s="199">
        <f aca="true" t="shared" si="12" ref="C775:C838">B775-D775</f>
        <v>930</v>
      </c>
      <c r="D775" s="202">
        <f>SUM(D776:D780)</f>
        <v>38</v>
      </c>
    </row>
    <row r="776" spans="1:4" ht="13.5" customHeight="1">
      <c r="A776" s="207" t="s">
        <v>932</v>
      </c>
      <c r="B776" s="201"/>
      <c r="C776" s="199">
        <f t="shared" si="12"/>
        <v>0</v>
      </c>
      <c r="D776" s="202"/>
    </row>
    <row r="777" spans="1:4" ht="13.5" customHeight="1">
      <c r="A777" s="207" t="s">
        <v>933</v>
      </c>
      <c r="B777" s="201"/>
      <c r="C777" s="199">
        <f t="shared" si="12"/>
        <v>0</v>
      </c>
      <c r="D777" s="202"/>
    </row>
    <row r="778" spans="1:4" ht="13.5" customHeight="1">
      <c r="A778" s="207" t="s">
        <v>934</v>
      </c>
      <c r="B778" s="201">
        <v>700</v>
      </c>
      <c r="C778" s="199">
        <f t="shared" si="12"/>
        <v>700</v>
      </c>
      <c r="D778" s="202"/>
    </row>
    <row r="779" spans="1:4" ht="13.5" customHeight="1">
      <c r="A779" s="207" t="s">
        <v>935</v>
      </c>
      <c r="B779" s="201">
        <v>100</v>
      </c>
      <c r="C779" s="199">
        <f t="shared" si="12"/>
        <v>100</v>
      </c>
      <c r="D779" s="202"/>
    </row>
    <row r="780" spans="1:4" ht="13.5" customHeight="1">
      <c r="A780" s="207" t="s">
        <v>936</v>
      </c>
      <c r="B780" s="201">
        <v>168</v>
      </c>
      <c r="C780" s="199">
        <f t="shared" si="12"/>
        <v>130</v>
      </c>
      <c r="D780" s="202">
        <v>38</v>
      </c>
    </row>
    <row r="781" spans="1:4" ht="13.5" customHeight="1">
      <c r="A781" s="207" t="s">
        <v>937</v>
      </c>
      <c r="B781" s="201"/>
      <c r="C781" s="199">
        <f t="shared" si="12"/>
        <v>0</v>
      </c>
      <c r="D781" s="202"/>
    </row>
    <row r="782" spans="1:4" ht="13.5" customHeight="1">
      <c r="A782" s="207" t="s">
        <v>938</v>
      </c>
      <c r="B782" s="201"/>
      <c r="C782" s="199">
        <f t="shared" si="12"/>
        <v>0</v>
      </c>
      <c r="D782" s="202"/>
    </row>
    <row r="783" spans="1:4" ht="13.5" customHeight="1">
      <c r="A783" s="215" t="s">
        <v>939</v>
      </c>
      <c r="B783" s="201">
        <f>SUM(B784:B797)</f>
        <v>0</v>
      </c>
      <c r="C783" s="199">
        <f t="shared" si="12"/>
        <v>0</v>
      </c>
      <c r="D783" s="202">
        <f>SUM(D784:D797)</f>
        <v>0</v>
      </c>
    </row>
    <row r="784" spans="1:4" ht="13.5" customHeight="1">
      <c r="A784" s="207" t="s">
        <v>355</v>
      </c>
      <c r="B784" s="201"/>
      <c r="C784" s="199">
        <f t="shared" si="12"/>
        <v>0</v>
      </c>
      <c r="D784" s="202"/>
    </row>
    <row r="785" spans="1:4" ht="13.5" customHeight="1">
      <c r="A785" s="207" t="s">
        <v>356</v>
      </c>
      <c r="B785" s="201"/>
      <c r="C785" s="199">
        <f t="shared" si="12"/>
        <v>0</v>
      </c>
      <c r="D785" s="202"/>
    </row>
    <row r="786" spans="1:4" ht="13.5" customHeight="1">
      <c r="A786" s="207" t="s">
        <v>357</v>
      </c>
      <c r="B786" s="201"/>
      <c r="C786" s="199">
        <f t="shared" si="12"/>
        <v>0</v>
      </c>
      <c r="D786" s="202"/>
    </row>
    <row r="787" spans="1:4" ht="13.5" customHeight="1">
      <c r="A787" s="207" t="s">
        <v>940</v>
      </c>
      <c r="B787" s="201"/>
      <c r="C787" s="199">
        <f t="shared" si="12"/>
        <v>0</v>
      </c>
      <c r="D787" s="202"/>
    </row>
    <row r="788" spans="1:4" ht="13.5" customHeight="1">
      <c r="A788" s="207" t="s">
        <v>941</v>
      </c>
      <c r="B788" s="201"/>
      <c r="C788" s="199">
        <f t="shared" si="12"/>
        <v>0</v>
      </c>
      <c r="D788" s="202"/>
    </row>
    <row r="789" spans="1:4" ht="13.5" customHeight="1">
      <c r="A789" s="207" t="s">
        <v>942</v>
      </c>
      <c r="B789" s="201"/>
      <c r="C789" s="199">
        <f t="shared" si="12"/>
        <v>0</v>
      </c>
      <c r="D789" s="202"/>
    </row>
    <row r="790" spans="1:4" ht="13.5" customHeight="1">
      <c r="A790" s="207" t="s">
        <v>943</v>
      </c>
      <c r="B790" s="201"/>
      <c r="C790" s="199">
        <f t="shared" si="12"/>
        <v>0</v>
      </c>
      <c r="D790" s="202"/>
    </row>
    <row r="791" spans="1:4" ht="13.5" customHeight="1">
      <c r="A791" s="207" t="s">
        <v>944</v>
      </c>
      <c r="B791" s="201"/>
      <c r="C791" s="199">
        <f t="shared" si="12"/>
        <v>0</v>
      </c>
      <c r="D791" s="202"/>
    </row>
    <row r="792" spans="1:4" ht="13.5" customHeight="1">
      <c r="A792" s="207" t="s">
        <v>945</v>
      </c>
      <c r="B792" s="201"/>
      <c r="C792" s="199">
        <f t="shared" si="12"/>
        <v>0</v>
      </c>
      <c r="D792" s="202"/>
    </row>
    <row r="793" spans="1:4" ht="13.5" customHeight="1">
      <c r="A793" s="207" t="s">
        <v>946</v>
      </c>
      <c r="B793" s="201"/>
      <c r="C793" s="199">
        <f t="shared" si="12"/>
        <v>0</v>
      </c>
      <c r="D793" s="202"/>
    </row>
    <row r="794" spans="1:4" ht="13.5" customHeight="1">
      <c r="A794" s="207" t="s">
        <v>398</v>
      </c>
      <c r="B794" s="201"/>
      <c r="C794" s="199">
        <f t="shared" si="12"/>
        <v>0</v>
      </c>
      <c r="D794" s="202"/>
    </row>
    <row r="795" spans="1:4" ht="13.5" customHeight="1">
      <c r="A795" s="207" t="s">
        <v>947</v>
      </c>
      <c r="B795" s="201"/>
      <c r="C795" s="199">
        <f t="shared" si="12"/>
        <v>0</v>
      </c>
      <c r="D795" s="202"/>
    </row>
    <row r="796" spans="1:4" ht="13.5" customHeight="1">
      <c r="A796" s="207" t="s">
        <v>364</v>
      </c>
      <c r="B796" s="201"/>
      <c r="C796" s="199">
        <f t="shared" si="12"/>
        <v>0</v>
      </c>
      <c r="D796" s="202"/>
    </row>
    <row r="797" spans="1:4" ht="13.5" customHeight="1">
      <c r="A797" s="207" t="s">
        <v>948</v>
      </c>
      <c r="B797" s="201"/>
      <c r="C797" s="199">
        <f t="shared" si="12"/>
        <v>0</v>
      </c>
      <c r="D797" s="202"/>
    </row>
    <row r="798" spans="1:4" ht="13.5" customHeight="1">
      <c r="A798" s="215" t="s">
        <v>949</v>
      </c>
      <c r="B798" s="201">
        <v>59</v>
      </c>
      <c r="C798" s="199">
        <f t="shared" si="12"/>
        <v>0</v>
      </c>
      <c r="D798" s="202">
        <v>59</v>
      </c>
    </row>
    <row r="799" spans="1:4" ht="13.5" customHeight="1">
      <c r="A799" s="215" t="s">
        <v>950</v>
      </c>
      <c r="B799" s="201">
        <f>SUM(B800,B812:B813,B816:B818)</f>
        <v>23154</v>
      </c>
      <c r="C799" s="199">
        <f t="shared" si="12"/>
        <v>23104</v>
      </c>
      <c r="D799" s="202">
        <f>SUM(D800,D812:D813,D816:D818)</f>
        <v>50</v>
      </c>
    </row>
    <row r="800" spans="1:4" ht="13.5" customHeight="1">
      <c r="A800" s="215" t="s">
        <v>951</v>
      </c>
      <c r="B800" s="201">
        <f>SUM(B801:B811)</f>
        <v>6737</v>
      </c>
      <c r="C800" s="199">
        <f t="shared" si="12"/>
        <v>6737</v>
      </c>
      <c r="D800" s="202">
        <f>SUM(D801:D811)</f>
        <v>0</v>
      </c>
    </row>
    <row r="801" spans="1:4" ht="13.5" customHeight="1">
      <c r="A801" s="207" t="s">
        <v>952</v>
      </c>
      <c r="B801" s="201">
        <f>6725-1929-1000</f>
        <v>3796</v>
      </c>
      <c r="C801" s="199">
        <f t="shared" si="12"/>
        <v>3796</v>
      </c>
      <c r="D801" s="202"/>
    </row>
    <row r="802" spans="1:4" ht="13.5" customHeight="1">
      <c r="A802" s="207" t="s">
        <v>953</v>
      </c>
      <c r="B802" s="201">
        <f>1301-1200</f>
        <v>101</v>
      </c>
      <c r="C802" s="199">
        <f t="shared" si="12"/>
        <v>101</v>
      </c>
      <c r="D802" s="202"/>
    </row>
    <row r="803" spans="1:4" ht="13.5" customHeight="1">
      <c r="A803" s="207" t="s">
        <v>954</v>
      </c>
      <c r="B803" s="201"/>
      <c r="C803" s="199">
        <f t="shared" si="12"/>
        <v>0</v>
      </c>
      <c r="D803" s="202"/>
    </row>
    <row r="804" spans="1:4" ht="13.5" customHeight="1">
      <c r="A804" s="207" t="s">
        <v>955</v>
      </c>
      <c r="B804" s="201">
        <v>1929</v>
      </c>
      <c r="C804" s="199">
        <f t="shared" si="12"/>
        <v>1929</v>
      </c>
      <c r="D804" s="202"/>
    </row>
    <row r="805" spans="1:4" ht="13.5" customHeight="1">
      <c r="A805" s="207" t="s">
        <v>956</v>
      </c>
      <c r="B805" s="201"/>
      <c r="C805" s="199">
        <f t="shared" si="12"/>
        <v>0</v>
      </c>
      <c r="D805" s="202"/>
    </row>
    <row r="806" spans="1:4" ht="13.5" customHeight="1">
      <c r="A806" s="207" t="s">
        <v>957</v>
      </c>
      <c r="B806" s="201">
        <v>134</v>
      </c>
      <c r="C806" s="199">
        <f t="shared" si="12"/>
        <v>134</v>
      </c>
      <c r="D806" s="202"/>
    </row>
    <row r="807" spans="1:4" ht="13.5" customHeight="1">
      <c r="A807" s="207" t="s">
        <v>958</v>
      </c>
      <c r="B807" s="201"/>
      <c r="C807" s="199">
        <f t="shared" si="12"/>
        <v>0</v>
      </c>
      <c r="D807" s="202"/>
    </row>
    <row r="808" spans="1:4" ht="13.5" customHeight="1">
      <c r="A808" s="207" t="s">
        <v>959</v>
      </c>
      <c r="B808" s="201"/>
      <c r="C808" s="199">
        <f t="shared" si="12"/>
        <v>0</v>
      </c>
      <c r="D808" s="202"/>
    </row>
    <row r="809" spans="1:4" ht="13.5" customHeight="1">
      <c r="A809" s="207" t="s">
        <v>960</v>
      </c>
      <c r="B809" s="201">
        <f>1942-1500</f>
        <v>442</v>
      </c>
      <c r="C809" s="199">
        <f t="shared" si="12"/>
        <v>442</v>
      </c>
      <c r="D809" s="202"/>
    </row>
    <row r="810" spans="1:4" ht="13.5" customHeight="1">
      <c r="A810" s="207" t="s">
        <v>961</v>
      </c>
      <c r="B810" s="201"/>
      <c r="C810" s="199">
        <f t="shared" si="12"/>
        <v>0</v>
      </c>
      <c r="D810" s="202"/>
    </row>
    <row r="811" spans="1:4" ht="13.5" customHeight="1">
      <c r="A811" s="207" t="s">
        <v>962</v>
      </c>
      <c r="B811" s="201">
        <v>335</v>
      </c>
      <c r="C811" s="199">
        <f t="shared" si="12"/>
        <v>335</v>
      </c>
      <c r="D811" s="202"/>
    </row>
    <row r="812" spans="1:4" ht="13.5" customHeight="1">
      <c r="A812" s="207" t="s">
        <v>963</v>
      </c>
      <c r="B812" s="201"/>
      <c r="C812" s="199">
        <f t="shared" si="12"/>
        <v>0</v>
      </c>
      <c r="D812" s="202"/>
    </row>
    <row r="813" spans="1:4" ht="13.5" customHeight="1">
      <c r="A813" s="215" t="s">
        <v>964</v>
      </c>
      <c r="B813" s="201">
        <f>SUM(B814:B815)</f>
        <v>6850</v>
      </c>
      <c r="C813" s="199">
        <f t="shared" si="12"/>
        <v>6850</v>
      </c>
      <c r="D813" s="202">
        <f>SUM(D814:D815)</f>
        <v>0</v>
      </c>
    </row>
    <row r="814" spans="1:4" ht="13.5" customHeight="1">
      <c r="A814" s="207" t="s">
        <v>965</v>
      </c>
      <c r="B814" s="201"/>
      <c r="C814" s="199">
        <f t="shared" si="12"/>
        <v>0</v>
      </c>
      <c r="D814" s="202"/>
    </row>
    <row r="815" spans="1:4" ht="13.5" customHeight="1">
      <c r="A815" s="207" t="s">
        <v>966</v>
      </c>
      <c r="B815" s="201">
        <f>2350+4500</f>
        <v>6850</v>
      </c>
      <c r="C815" s="199">
        <f t="shared" si="12"/>
        <v>6850</v>
      </c>
      <c r="D815" s="202"/>
    </row>
    <row r="816" spans="1:4" ht="13.5" customHeight="1">
      <c r="A816" s="215" t="s">
        <v>967</v>
      </c>
      <c r="B816" s="201">
        <f>790-500</f>
        <v>290</v>
      </c>
      <c r="C816" s="199">
        <f t="shared" si="12"/>
        <v>290</v>
      </c>
      <c r="D816" s="202"/>
    </row>
    <row r="817" spans="1:4" ht="13.5" customHeight="1">
      <c r="A817" s="215" t="s">
        <v>968</v>
      </c>
      <c r="B817" s="201"/>
      <c r="C817" s="199">
        <f t="shared" si="12"/>
        <v>0</v>
      </c>
      <c r="D817" s="202"/>
    </row>
    <row r="818" spans="1:4" ht="13.5" customHeight="1">
      <c r="A818" s="215" t="s">
        <v>969</v>
      </c>
      <c r="B818" s="201">
        <f>6989+2288</f>
        <v>9277</v>
      </c>
      <c r="C818" s="199">
        <f t="shared" si="12"/>
        <v>9227</v>
      </c>
      <c r="D818" s="202">
        <v>50</v>
      </c>
    </row>
    <row r="819" spans="1:4" ht="13.5" customHeight="1">
      <c r="A819" s="215" t="s">
        <v>970</v>
      </c>
      <c r="B819" s="201">
        <f>SUM(B820,B847,B875,B903,B914,B925,B931,B938,B945,B949)</f>
        <v>15564</v>
      </c>
      <c r="C819" s="199">
        <f t="shared" si="12"/>
        <v>13771</v>
      </c>
      <c r="D819" s="202">
        <f>SUM(D820,D847,D875,D903,D914,D925,D931,D938,D945,D949)</f>
        <v>1793</v>
      </c>
    </row>
    <row r="820" spans="1:4" ht="13.5" customHeight="1">
      <c r="A820" s="215" t="s">
        <v>971</v>
      </c>
      <c r="B820" s="201">
        <f>SUM(B821:B846)</f>
        <v>3690</v>
      </c>
      <c r="C820" s="199">
        <f t="shared" si="12"/>
        <v>3212</v>
      </c>
      <c r="D820" s="202">
        <f>SUM(D821:D846)</f>
        <v>478</v>
      </c>
    </row>
    <row r="821" spans="1:4" ht="13.5" customHeight="1">
      <c r="A821" s="207" t="s">
        <v>952</v>
      </c>
      <c r="B821" s="201">
        <v>1677</v>
      </c>
      <c r="C821" s="199">
        <f t="shared" si="12"/>
        <v>1677</v>
      </c>
      <c r="D821" s="202"/>
    </row>
    <row r="822" spans="1:4" ht="13.5" customHeight="1">
      <c r="A822" s="207" t="s">
        <v>953</v>
      </c>
      <c r="B822" s="201">
        <v>225</v>
      </c>
      <c r="C822" s="199">
        <f t="shared" si="12"/>
        <v>225</v>
      </c>
      <c r="D822" s="202"/>
    </row>
    <row r="823" spans="1:4" ht="13.5" customHeight="1">
      <c r="A823" s="207" t="s">
        <v>954</v>
      </c>
      <c r="B823" s="201"/>
      <c r="C823" s="199">
        <f t="shared" si="12"/>
        <v>0</v>
      </c>
      <c r="D823" s="202"/>
    </row>
    <row r="824" spans="1:4" ht="13.5" customHeight="1">
      <c r="A824" s="207" t="s">
        <v>972</v>
      </c>
      <c r="B824" s="201">
        <v>566</v>
      </c>
      <c r="C824" s="199">
        <f t="shared" si="12"/>
        <v>566</v>
      </c>
      <c r="D824" s="202"/>
    </row>
    <row r="825" spans="1:4" ht="13.5" customHeight="1">
      <c r="A825" s="207" t="s">
        <v>973</v>
      </c>
      <c r="B825" s="201"/>
      <c r="C825" s="199">
        <f t="shared" si="12"/>
        <v>0</v>
      </c>
      <c r="D825" s="202"/>
    </row>
    <row r="826" spans="1:4" ht="13.5" customHeight="1">
      <c r="A826" s="207" t="s">
        <v>974</v>
      </c>
      <c r="B826" s="201">
        <v>45</v>
      </c>
      <c r="C826" s="199">
        <f t="shared" si="12"/>
        <v>45</v>
      </c>
      <c r="D826" s="202"/>
    </row>
    <row r="827" spans="1:4" ht="13.5" customHeight="1">
      <c r="A827" s="207" t="s">
        <v>975</v>
      </c>
      <c r="B827" s="201"/>
      <c r="C827" s="199">
        <f t="shared" si="12"/>
        <v>0</v>
      </c>
      <c r="D827" s="202"/>
    </row>
    <row r="828" spans="1:4" ht="13.5" customHeight="1">
      <c r="A828" s="207" t="s">
        <v>976</v>
      </c>
      <c r="B828" s="201">
        <v>40</v>
      </c>
      <c r="C828" s="199">
        <f t="shared" si="12"/>
        <v>40</v>
      </c>
      <c r="D828" s="202"/>
    </row>
    <row r="829" spans="1:4" ht="13.5" customHeight="1">
      <c r="A829" s="207" t="s">
        <v>977</v>
      </c>
      <c r="B829" s="201"/>
      <c r="C829" s="199">
        <f t="shared" si="12"/>
        <v>0</v>
      </c>
      <c r="D829" s="202"/>
    </row>
    <row r="830" spans="1:4" ht="13.5" customHeight="1">
      <c r="A830" s="207" t="s">
        <v>978</v>
      </c>
      <c r="B830" s="201"/>
      <c r="C830" s="199">
        <f t="shared" si="12"/>
        <v>0</v>
      </c>
      <c r="D830" s="202"/>
    </row>
    <row r="831" spans="1:4" ht="13.5" customHeight="1">
      <c r="A831" s="207" t="s">
        <v>979</v>
      </c>
      <c r="B831" s="201">
        <v>130</v>
      </c>
      <c r="C831" s="199">
        <f t="shared" si="12"/>
        <v>123</v>
      </c>
      <c r="D831" s="202">
        <v>7</v>
      </c>
    </row>
    <row r="832" spans="1:4" ht="13.5" customHeight="1">
      <c r="A832" s="207" t="s">
        <v>980</v>
      </c>
      <c r="B832" s="201"/>
      <c r="C832" s="199">
        <f t="shared" si="12"/>
        <v>0</v>
      </c>
      <c r="D832" s="202"/>
    </row>
    <row r="833" spans="1:4" ht="13.5" customHeight="1">
      <c r="A833" s="207" t="s">
        <v>981</v>
      </c>
      <c r="B833" s="201"/>
      <c r="C833" s="199">
        <f t="shared" si="12"/>
        <v>0</v>
      </c>
      <c r="D833" s="202"/>
    </row>
    <row r="834" spans="1:4" ht="13.5" customHeight="1">
      <c r="A834" s="207" t="s">
        <v>982</v>
      </c>
      <c r="B834" s="201"/>
      <c r="C834" s="199">
        <f t="shared" si="12"/>
        <v>0</v>
      </c>
      <c r="D834" s="202"/>
    </row>
    <row r="835" spans="1:4" ht="13.5" customHeight="1">
      <c r="A835" s="207" t="s">
        <v>983</v>
      </c>
      <c r="B835" s="201"/>
      <c r="C835" s="199">
        <f t="shared" si="12"/>
        <v>0</v>
      </c>
      <c r="D835" s="202"/>
    </row>
    <row r="836" spans="1:4" ht="13.5" customHeight="1">
      <c r="A836" s="207" t="s">
        <v>984</v>
      </c>
      <c r="B836" s="201"/>
      <c r="C836" s="199">
        <f t="shared" si="12"/>
        <v>0</v>
      </c>
      <c r="D836" s="202"/>
    </row>
    <row r="837" spans="1:4" ht="13.5" customHeight="1">
      <c r="A837" s="207" t="s">
        <v>985</v>
      </c>
      <c r="B837" s="201">
        <v>550</v>
      </c>
      <c r="C837" s="199">
        <f t="shared" si="12"/>
        <v>472</v>
      </c>
      <c r="D837" s="202">
        <v>78</v>
      </c>
    </row>
    <row r="838" spans="1:4" ht="13.5" customHeight="1">
      <c r="A838" s="207" t="s">
        <v>986</v>
      </c>
      <c r="B838" s="201"/>
      <c r="C838" s="199">
        <f t="shared" si="12"/>
        <v>0</v>
      </c>
      <c r="D838" s="202"/>
    </row>
    <row r="839" spans="1:4" ht="13.5" customHeight="1">
      <c r="A839" s="207" t="s">
        <v>987</v>
      </c>
      <c r="B839" s="201"/>
      <c r="C839" s="199">
        <f aca="true" t="shared" si="13" ref="C839:C902">B839-D839</f>
        <v>0</v>
      </c>
      <c r="D839" s="202"/>
    </row>
    <row r="840" spans="1:4" ht="13.5" customHeight="1">
      <c r="A840" s="207" t="s">
        <v>988</v>
      </c>
      <c r="B840" s="201"/>
      <c r="C840" s="199">
        <f t="shared" si="13"/>
        <v>0</v>
      </c>
      <c r="D840" s="202"/>
    </row>
    <row r="841" spans="1:4" ht="13.5" customHeight="1">
      <c r="A841" s="207" t="s">
        <v>989</v>
      </c>
      <c r="B841" s="201"/>
      <c r="C841" s="199">
        <f t="shared" si="13"/>
        <v>0</v>
      </c>
      <c r="D841" s="202"/>
    </row>
    <row r="842" spans="1:4" ht="13.5" customHeight="1">
      <c r="A842" s="207" t="s">
        <v>990</v>
      </c>
      <c r="B842" s="201"/>
      <c r="C842" s="199">
        <f t="shared" si="13"/>
        <v>0</v>
      </c>
      <c r="D842" s="202"/>
    </row>
    <row r="843" spans="1:4" ht="13.5" customHeight="1">
      <c r="A843" s="207" t="s">
        <v>991</v>
      </c>
      <c r="B843" s="201"/>
      <c r="C843" s="199">
        <f t="shared" si="13"/>
        <v>0</v>
      </c>
      <c r="D843" s="202"/>
    </row>
    <row r="844" spans="1:4" ht="13.5" customHeight="1">
      <c r="A844" s="207" t="s">
        <v>992</v>
      </c>
      <c r="B844" s="201"/>
      <c r="C844" s="199">
        <f t="shared" si="13"/>
        <v>0</v>
      </c>
      <c r="D844" s="202"/>
    </row>
    <row r="845" spans="1:4" ht="13.5" customHeight="1">
      <c r="A845" s="207" t="s">
        <v>993</v>
      </c>
      <c r="B845" s="201"/>
      <c r="C845" s="199">
        <f t="shared" si="13"/>
        <v>0</v>
      </c>
      <c r="D845" s="202"/>
    </row>
    <row r="846" spans="1:4" ht="13.5" customHeight="1">
      <c r="A846" s="207" t="s">
        <v>994</v>
      </c>
      <c r="B846" s="201">
        <f>407+50+500-500</f>
        <v>457</v>
      </c>
      <c r="C846" s="199">
        <f t="shared" si="13"/>
        <v>64</v>
      </c>
      <c r="D846" s="202">
        <f>139+254</f>
        <v>393</v>
      </c>
    </row>
    <row r="847" spans="1:4" ht="13.5" customHeight="1">
      <c r="A847" s="215" t="s">
        <v>995</v>
      </c>
      <c r="B847" s="201">
        <f>SUM(B848:B874)</f>
        <v>1072</v>
      </c>
      <c r="C847" s="199">
        <f t="shared" si="13"/>
        <v>985</v>
      </c>
      <c r="D847" s="202">
        <f>SUM(D848:D874)</f>
        <v>87</v>
      </c>
    </row>
    <row r="848" spans="1:4" ht="13.5" customHeight="1">
      <c r="A848" s="207" t="s">
        <v>952</v>
      </c>
      <c r="B848" s="201">
        <f>692+21+30+50</f>
        <v>793</v>
      </c>
      <c r="C848" s="199">
        <f t="shared" si="13"/>
        <v>793</v>
      </c>
      <c r="D848" s="202"/>
    </row>
    <row r="849" spans="1:4" ht="13.5" customHeight="1">
      <c r="A849" s="207" t="s">
        <v>953</v>
      </c>
      <c r="B849" s="201"/>
      <c r="C849" s="199">
        <f t="shared" si="13"/>
        <v>0</v>
      </c>
      <c r="D849" s="202"/>
    </row>
    <row r="850" spans="1:4" ht="13.5" customHeight="1">
      <c r="A850" s="207" t="s">
        <v>954</v>
      </c>
      <c r="B850" s="201"/>
      <c r="C850" s="199">
        <f t="shared" si="13"/>
        <v>0</v>
      </c>
      <c r="D850" s="202"/>
    </row>
    <row r="851" spans="1:4" ht="13.5" customHeight="1">
      <c r="A851" s="207" t="s">
        <v>996</v>
      </c>
      <c r="B851" s="201"/>
      <c r="C851" s="199">
        <f t="shared" si="13"/>
        <v>0</v>
      </c>
      <c r="D851" s="202"/>
    </row>
    <row r="852" spans="1:4" ht="13.5" customHeight="1">
      <c r="A852" s="207" t="s">
        <v>997</v>
      </c>
      <c r="B852" s="201"/>
      <c r="C852" s="199">
        <f t="shared" si="13"/>
        <v>0</v>
      </c>
      <c r="D852" s="202"/>
    </row>
    <row r="853" spans="1:4" ht="13.5" customHeight="1">
      <c r="A853" s="207" t="s">
        <v>998</v>
      </c>
      <c r="B853" s="201"/>
      <c r="C853" s="199">
        <f t="shared" si="13"/>
        <v>0</v>
      </c>
      <c r="D853" s="202"/>
    </row>
    <row r="854" spans="1:4" ht="13.5" customHeight="1">
      <c r="A854" s="207" t="s">
        <v>999</v>
      </c>
      <c r="B854" s="201"/>
      <c r="C854" s="199">
        <f t="shared" si="13"/>
        <v>0</v>
      </c>
      <c r="D854" s="202"/>
    </row>
    <row r="855" spans="1:4" ht="13.5" customHeight="1">
      <c r="A855" s="207" t="s">
        <v>1000</v>
      </c>
      <c r="B855" s="201"/>
      <c r="C855" s="199">
        <f t="shared" si="13"/>
        <v>0</v>
      </c>
      <c r="D855" s="202"/>
    </row>
    <row r="856" spans="1:4" ht="13.5" customHeight="1">
      <c r="A856" s="207" t="s">
        <v>1001</v>
      </c>
      <c r="B856" s="201"/>
      <c r="C856" s="199">
        <f t="shared" si="13"/>
        <v>0</v>
      </c>
      <c r="D856" s="202"/>
    </row>
    <row r="857" spans="1:4" ht="13.5" customHeight="1">
      <c r="A857" s="207" t="s">
        <v>1002</v>
      </c>
      <c r="B857" s="201"/>
      <c r="C857" s="199">
        <f t="shared" si="13"/>
        <v>0</v>
      </c>
      <c r="D857" s="202"/>
    </row>
    <row r="858" spans="1:4" ht="13.5" customHeight="1">
      <c r="A858" s="207" t="s">
        <v>1003</v>
      </c>
      <c r="B858" s="201">
        <v>17</v>
      </c>
      <c r="C858" s="199">
        <f t="shared" si="13"/>
        <v>17</v>
      </c>
      <c r="D858" s="202"/>
    </row>
    <row r="859" spans="1:4" ht="13.5" customHeight="1">
      <c r="A859" s="207" t="s">
        <v>1004</v>
      </c>
      <c r="B859" s="201">
        <v>29</v>
      </c>
      <c r="C859" s="199">
        <f t="shared" si="13"/>
        <v>29</v>
      </c>
      <c r="D859" s="202"/>
    </row>
    <row r="860" spans="1:4" ht="13.5" customHeight="1">
      <c r="A860" s="207" t="s">
        <v>1005</v>
      </c>
      <c r="B860" s="201"/>
      <c r="C860" s="199">
        <f t="shared" si="13"/>
        <v>0</v>
      </c>
      <c r="D860" s="202"/>
    </row>
    <row r="861" spans="1:4" ht="13.5" customHeight="1">
      <c r="A861" s="207" t="s">
        <v>1006</v>
      </c>
      <c r="B861" s="201">
        <v>22</v>
      </c>
      <c r="C861" s="199">
        <f t="shared" si="13"/>
        <v>22</v>
      </c>
      <c r="D861" s="202"/>
    </row>
    <row r="862" spans="1:4" ht="13.5" customHeight="1">
      <c r="A862" s="207" t="s">
        <v>1007</v>
      </c>
      <c r="B862" s="201"/>
      <c r="C862" s="199">
        <f t="shared" si="13"/>
        <v>0</v>
      </c>
      <c r="D862" s="202"/>
    </row>
    <row r="863" spans="1:4" ht="13.5" customHeight="1">
      <c r="A863" s="207" t="s">
        <v>1008</v>
      </c>
      <c r="B863" s="201"/>
      <c r="C863" s="199">
        <f t="shared" si="13"/>
        <v>0</v>
      </c>
      <c r="D863" s="202"/>
    </row>
    <row r="864" spans="1:4" ht="13.5" customHeight="1">
      <c r="A864" s="207" t="s">
        <v>1009</v>
      </c>
      <c r="B864" s="201"/>
      <c r="C864" s="199">
        <f t="shared" si="13"/>
        <v>0</v>
      </c>
      <c r="D864" s="202"/>
    </row>
    <row r="865" spans="1:4" ht="13.5" customHeight="1">
      <c r="A865" s="207" t="s">
        <v>1010</v>
      </c>
      <c r="B865" s="201"/>
      <c r="C865" s="199">
        <f t="shared" si="13"/>
        <v>0</v>
      </c>
      <c r="D865" s="202"/>
    </row>
    <row r="866" spans="1:4" ht="13.5" customHeight="1">
      <c r="A866" s="207" t="s">
        <v>1011</v>
      </c>
      <c r="B866" s="201"/>
      <c r="C866" s="199">
        <f t="shared" si="13"/>
        <v>0</v>
      </c>
      <c r="D866" s="202"/>
    </row>
    <row r="867" spans="1:4" ht="13.5" customHeight="1">
      <c r="A867" s="207" t="s">
        <v>1012</v>
      </c>
      <c r="B867" s="201"/>
      <c r="C867" s="199">
        <f t="shared" si="13"/>
        <v>0</v>
      </c>
      <c r="D867" s="202"/>
    </row>
    <row r="868" spans="1:4" ht="13.5" customHeight="1">
      <c r="A868" s="207" t="s">
        <v>1013</v>
      </c>
      <c r="B868" s="201"/>
      <c r="C868" s="199">
        <f t="shared" si="13"/>
        <v>0</v>
      </c>
      <c r="D868" s="202"/>
    </row>
    <row r="869" spans="1:4" ht="13.5" customHeight="1">
      <c r="A869" s="207" t="s">
        <v>1014</v>
      </c>
      <c r="B869" s="201"/>
      <c r="C869" s="199">
        <f t="shared" si="13"/>
        <v>0</v>
      </c>
      <c r="D869" s="202"/>
    </row>
    <row r="870" spans="1:4" ht="13.5" customHeight="1">
      <c r="A870" s="207" t="s">
        <v>1015</v>
      </c>
      <c r="B870" s="201"/>
      <c r="C870" s="199">
        <f t="shared" si="13"/>
        <v>0</v>
      </c>
      <c r="D870" s="202"/>
    </row>
    <row r="871" spans="1:4" ht="13.5" customHeight="1">
      <c r="A871" s="207" t="s">
        <v>1016</v>
      </c>
      <c r="B871" s="201"/>
      <c r="C871" s="199">
        <f t="shared" si="13"/>
        <v>0</v>
      </c>
      <c r="D871" s="202"/>
    </row>
    <row r="872" spans="1:4" ht="13.5" customHeight="1">
      <c r="A872" s="207" t="s">
        <v>1017</v>
      </c>
      <c r="B872" s="201"/>
      <c r="C872" s="199">
        <f t="shared" si="13"/>
        <v>0</v>
      </c>
      <c r="D872" s="202"/>
    </row>
    <row r="873" spans="1:4" ht="13.5" customHeight="1">
      <c r="A873" s="207" t="s">
        <v>1018</v>
      </c>
      <c r="B873" s="201">
        <v>55</v>
      </c>
      <c r="C873" s="199">
        <f t="shared" si="13"/>
        <v>55</v>
      </c>
      <c r="D873" s="202"/>
    </row>
    <row r="874" spans="1:4" ht="13.5" customHeight="1">
      <c r="A874" s="207" t="s">
        <v>1019</v>
      </c>
      <c r="B874" s="201">
        <v>156</v>
      </c>
      <c r="C874" s="199">
        <f t="shared" si="13"/>
        <v>69</v>
      </c>
      <c r="D874" s="202">
        <f>56+31</f>
        <v>87</v>
      </c>
    </row>
    <row r="875" spans="1:4" ht="13.5" customHeight="1">
      <c r="A875" s="215" t="s">
        <v>1020</v>
      </c>
      <c r="B875" s="201">
        <f>SUM(B876:B902)</f>
        <v>7655</v>
      </c>
      <c r="C875" s="199">
        <f t="shared" si="13"/>
        <v>6682</v>
      </c>
      <c r="D875" s="202">
        <f>SUM(D876:D902)</f>
        <v>973</v>
      </c>
    </row>
    <row r="876" spans="1:4" ht="13.5" customHeight="1">
      <c r="A876" s="207" t="s">
        <v>952</v>
      </c>
      <c r="B876" s="201">
        <f>3788-300</f>
        <v>3488</v>
      </c>
      <c r="C876" s="199">
        <f t="shared" si="13"/>
        <v>3488</v>
      </c>
      <c r="D876" s="202"/>
    </row>
    <row r="877" spans="1:4" ht="13.5" customHeight="1">
      <c r="A877" s="207" t="s">
        <v>953</v>
      </c>
      <c r="B877" s="201">
        <f>100+110</f>
        <v>210</v>
      </c>
      <c r="C877" s="199">
        <f t="shared" si="13"/>
        <v>210</v>
      </c>
      <c r="D877" s="202"/>
    </row>
    <row r="878" spans="1:4" ht="13.5" customHeight="1">
      <c r="A878" s="207" t="s">
        <v>954</v>
      </c>
      <c r="B878" s="201"/>
      <c r="C878" s="199">
        <f t="shared" si="13"/>
        <v>0</v>
      </c>
      <c r="D878" s="202"/>
    </row>
    <row r="879" spans="1:4" ht="13.5" customHeight="1">
      <c r="A879" s="207" t="s">
        <v>1021</v>
      </c>
      <c r="B879" s="201">
        <v>100</v>
      </c>
      <c r="C879" s="199">
        <f t="shared" si="13"/>
        <v>100</v>
      </c>
      <c r="D879" s="202"/>
    </row>
    <row r="880" spans="1:4" ht="13.5" customHeight="1">
      <c r="A880" s="207" t="s">
        <v>1022</v>
      </c>
      <c r="B880" s="201">
        <v>1400</v>
      </c>
      <c r="C880" s="199">
        <f t="shared" si="13"/>
        <v>1400</v>
      </c>
      <c r="D880" s="202"/>
    </row>
    <row r="881" spans="1:4" ht="13.5" customHeight="1">
      <c r="A881" s="207" t="s">
        <v>1023</v>
      </c>
      <c r="B881" s="201">
        <v>234</v>
      </c>
      <c r="C881" s="199">
        <f t="shared" si="13"/>
        <v>130</v>
      </c>
      <c r="D881" s="202">
        <v>104</v>
      </c>
    </row>
    <row r="882" spans="1:4" ht="13.5" customHeight="1">
      <c r="A882" s="207" t="s">
        <v>1024</v>
      </c>
      <c r="B882" s="201"/>
      <c r="C882" s="199">
        <f t="shared" si="13"/>
        <v>0</v>
      </c>
      <c r="D882" s="202"/>
    </row>
    <row r="883" spans="1:4" ht="13.5" customHeight="1">
      <c r="A883" s="207" t="s">
        <v>1025</v>
      </c>
      <c r="B883" s="201"/>
      <c r="C883" s="199">
        <f t="shared" si="13"/>
        <v>0</v>
      </c>
      <c r="D883" s="202"/>
    </row>
    <row r="884" spans="1:4" ht="13.5" customHeight="1">
      <c r="A884" s="207" t="s">
        <v>1026</v>
      </c>
      <c r="B884" s="201"/>
      <c r="C884" s="199">
        <f t="shared" si="13"/>
        <v>0</v>
      </c>
      <c r="D884" s="202"/>
    </row>
    <row r="885" spans="1:4" ht="13.5" customHeight="1">
      <c r="A885" s="207" t="s">
        <v>1027</v>
      </c>
      <c r="B885" s="201">
        <v>90</v>
      </c>
      <c r="C885" s="199">
        <f t="shared" si="13"/>
        <v>90</v>
      </c>
      <c r="D885" s="202"/>
    </row>
    <row r="886" spans="1:4" ht="13.5" customHeight="1">
      <c r="A886" s="207" t="s">
        <v>1028</v>
      </c>
      <c r="B886" s="201"/>
      <c r="C886" s="199">
        <f t="shared" si="13"/>
        <v>0</v>
      </c>
      <c r="D886" s="202"/>
    </row>
    <row r="887" spans="1:4" ht="13.5" customHeight="1">
      <c r="A887" s="207" t="s">
        <v>1029</v>
      </c>
      <c r="B887" s="201"/>
      <c r="C887" s="199">
        <f t="shared" si="13"/>
        <v>0</v>
      </c>
      <c r="D887" s="202"/>
    </row>
    <row r="888" spans="1:4" ht="13.5" customHeight="1">
      <c r="A888" s="207" t="s">
        <v>1030</v>
      </c>
      <c r="B888" s="201">
        <v>90</v>
      </c>
      <c r="C888" s="199">
        <f t="shared" si="13"/>
        <v>90</v>
      </c>
      <c r="D888" s="202"/>
    </row>
    <row r="889" spans="1:4" ht="13.5" customHeight="1">
      <c r="A889" s="207" t="s">
        <v>1031</v>
      </c>
      <c r="B889" s="201">
        <v>400</v>
      </c>
      <c r="C889" s="199">
        <f t="shared" si="13"/>
        <v>261</v>
      </c>
      <c r="D889" s="202">
        <v>139</v>
      </c>
    </row>
    <row r="890" spans="1:4" ht="13.5" customHeight="1">
      <c r="A890" s="207" t="s">
        <v>1032</v>
      </c>
      <c r="B890" s="201"/>
      <c r="C890" s="199">
        <f t="shared" si="13"/>
        <v>0</v>
      </c>
      <c r="D890" s="202"/>
    </row>
    <row r="891" spans="1:4" ht="13.5" customHeight="1">
      <c r="A891" s="207" t="s">
        <v>1033</v>
      </c>
      <c r="B891" s="201">
        <v>600</v>
      </c>
      <c r="C891" s="199">
        <f t="shared" si="13"/>
        <v>85</v>
      </c>
      <c r="D891" s="202">
        <v>515</v>
      </c>
    </row>
    <row r="892" spans="1:4" ht="13.5" customHeight="1">
      <c r="A892" s="207" t="s">
        <v>1034</v>
      </c>
      <c r="B892" s="201"/>
      <c r="C892" s="199">
        <f t="shared" si="13"/>
        <v>0</v>
      </c>
      <c r="D892" s="202"/>
    </row>
    <row r="893" spans="1:4" ht="13.5" customHeight="1">
      <c r="A893" s="207" t="s">
        <v>1035</v>
      </c>
      <c r="B893" s="201"/>
      <c r="C893" s="199">
        <f t="shared" si="13"/>
        <v>0</v>
      </c>
      <c r="D893" s="202"/>
    </row>
    <row r="894" spans="1:4" ht="13.5" customHeight="1">
      <c r="A894" s="207" t="s">
        <v>1036</v>
      </c>
      <c r="B894" s="201"/>
      <c r="C894" s="199">
        <f t="shared" si="13"/>
        <v>0</v>
      </c>
      <c r="D894" s="202"/>
    </row>
    <row r="895" spans="1:4" ht="13.5" customHeight="1">
      <c r="A895" s="207" t="s">
        <v>1037</v>
      </c>
      <c r="B895" s="201"/>
      <c r="C895" s="199">
        <f t="shared" si="13"/>
        <v>0</v>
      </c>
      <c r="D895" s="202"/>
    </row>
    <row r="896" spans="1:4" ht="13.5" customHeight="1">
      <c r="A896" s="207" t="s">
        <v>1038</v>
      </c>
      <c r="B896" s="201"/>
      <c r="C896" s="199">
        <f t="shared" si="13"/>
        <v>0</v>
      </c>
      <c r="D896" s="202"/>
    </row>
    <row r="897" spans="1:4" ht="13.5" customHeight="1">
      <c r="A897" s="207" t="s">
        <v>1039</v>
      </c>
      <c r="B897" s="201">
        <v>580</v>
      </c>
      <c r="C897" s="199">
        <f t="shared" si="13"/>
        <v>580</v>
      </c>
      <c r="D897" s="202"/>
    </row>
    <row r="898" spans="1:4" ht="13.5" customHeight="1">
      <c r="A898" s="207" t="s">
        <v>1040</v>
      </c>
      <c r="B898" s="201"/>
      <c r="C898" s="199">
        <f t="shared" si="13"/>
        <v>0</v>
      </c>
      <c r="D898" s="202"/>
    </row>
    <row r="899" spans="1:4" ht="13.5" customHeight="1">
      <c r="A899" s="207" t="s">
        <v>1012</v>
      </c>
      <c r="B899" s="201"/>
      <c r="C899" s="199">
        <f t="shared" si="13"/>
        <v>0</v>
      </c>
      <c r="D899" s="202"/>
    </row>
    <row r="900" spans="1:4" ht="13.5" customHeight="1">
      <c r="A900" s="207" t="s">
        <v>1041</v>
      </c>
      <c r="B900" s="201"/>
      <c r="C900" s="199">
        <f t="shared" si="13"/>
        <v>0</v>
      </c>
      <c r="D900" s="202"/>
    </row>
    <row r="901" spans="1:4" ht="13.5" customHeight="1">
      <c r="A901" s="207" t="s">
        <v>1042</v>
      </c>
      <c r="B901" s="201"/>
      <c r="C901" s="199">
        <f t="shared" si="13"/>
        <v>0</v>
      </c>
      <c r="D901" s="202"/>
    </row>
    <row r="902" spans="1:4" ht="13.5" customHeight="1">
      <c r="A902" s="207" t="s">
        <v>1043</v>
      </c>
      <c r="B902" s="201">
        <f>960-497</f>
        <v>463</v>
      </c>
      <c r="C902" s="199">
        <f t="shared" si="13"/>
        <v>248</v>
      </c>
      <c r="D902" s="202">
        <v>215</v>
      </c>
    </row>
    <row r="903" spans="1:4" ht="13.5" customHeight="1">
      <c r="A903" s="215" t="s">
        <v>1044</v>
      </c>
      <c r="B903" s="201">
        <f>SUM(B904:B913)</f>
        <v>0</v>
      </c>
      <c r="C903" s="199">
        <f aca="true" t="shared" si="14" ref="C903:C966">B903-D903</f>
        <v>0</v>
      </c>
      <c r="D903" s="202">
        <f>SUM(D904:D913)</f>
        <v>0</v>
      </c>
    </row>
    <row r="904" spans="1:4" ht="13.5" customHeight="1">
      <c r="A904" s="207" t="s">
        <v>952</v>
      </c>
      <c r="B904" s="201"/>
      <c r="C904" s="199">
        <f t="shared" si="14"/>
        <v>0</v>
      </c>
      <c r="D904" s="202"/>
    </row>
    <row r="905" spans="1:4" ht="13.5" customHeight="1">
      <c r="A905" s="207" t="s">
        <v>953</v>
      </c>
      <c r="B905" s="201"/>
      <c r="C905" s="199">
        <f t="shared" si="14"/>
        <v>0</v>
      </c>
      <c r="D905" s="202"/>
    </row>
    <row r="906" spans="1:4" ht="13.5" customHeight="1">
      <c r="A906" s="207" t="s">
        <v>954</v>
      </c>
      <c r="B906" s="201"/>
      <c r="C906" s="199">
        <f t="shared" si="14"/>
        <v>0</v>
      </c>
      <c r="D906" s="202"/>
    </row>
    <row r="907" spans="1:4" ht="13.5" customHeight="1">
      <c r="A907" s="207" t="s">
        <v>1045</v>
      </c>
      <c r="B907" s="201"/>
      <c r="C907" s="199">
        <f t="shared" si="14"/>
        <v>0</v>
      </c>
      <c r="D907" s="202"/>
    </row>
    <row r="908" spans="1:4" ht="13.5" customHeight="1">
      <c r="A908" s="207" t="s">
        <v>1046</v>
      </c>
      <c r="B908" s="201"/>
      <c r="C908" s="199">
        <f t="shared" si="14"/>
        <v>0</v>
      </c>
      <c r="D908" s="202"/>
    </row>
    <row r="909" spans="1:4" ht="13.5" customHeight="1">
      <c r="A909" s="207" t="s">
        <v>1047</v>
      </c>
      <c r="B909" s="201"/>
      <c r="C909" s="199">
        <f t="shared" si="14"/>
        <v>0</v>
      </c>
      <c r="D909" s="202"/>
    </row>
    <row r="910" spans="1:4" ht="13.5" customHeight="1">
      <c r="A910" s="207" t="s">
        <v>1048</v>
      </c>
      <c r="B910" s="201"/>
      <c r="C910" s="199">
        <f t="shared" si="14"/>
        <v>0</v>
      </c>
      <c r="D910" s="202"/>
    </row>
    <row r="911" spans="1:4" ht="13.5" customHeight="1">
      <c r="A911" s="207" t="s">
        <v>1049</v>
      </c>
      <c r="B911" s="201"/>
      <c r="C911" s="199">
        <f t="shared" si="14"/>
        <v>0</v>
      </c>
      <c r="D911" s="202"/>
    </row>
    <row r="912" spans="1:4" ht="13.5" customHeight="1">
      <c r="A912" s="207" t="s">
        <v>1050</v>
      </c>
      <c r="B912" s="201"/>
      <c r="C912" s="199">
        <f t="shared" si="14"/>
        <v>0</v>
      </c>
      <c r="D912" s="202"/>
    </row>
    <row r="913" spans="1:4" ht="13.5" customHeight="1">
      <c r="A913" s="207" t="s">
        <v>1051</v>
      </c>
      <c r="B913" s="201"/>
      <c r="C913" s="199">
        <f t="shared" si="14"/>
        <v>0</v>
      </c>
      <c r="D913" s="202"/>
    </row>
    <row r="914" spans="1:4" ht="13.5" customHeight="1">
      <c r="A914" s="215" t="s">
        <v>1052</v>
      </c>
      <c r="B914" s="201">
        <f>SUM(B915:B924)</f>
        <v>2000</v>
      </c>
      <c r="C914" s="199">
        <f t="shared" si="14"/>
        <v>1978</v>
      </c>
      <c r="D914" s="202">
        <f>SUM(D915:D924)</f>
        <v>22</v>
      </c>
    </row>
    <row r="915" spans="1:4" ht="13.5" customHeight="1">
      <c r="A915" s="207" t="s">
        <v>952</v>
      </c>
      <c r="B915" s="201"/>
      <c r="C915" s="199">
        <f t="shared" si="14"/>
        <v>0</v>
      </c>
      <c r="D915" s="202"/>
    </row>
    <row r="916" spans="1:4" ht="13.5" customHeight="1">
      <c r="A916" s="207" t="s">
        <v>953</v>
      </c>
      <c r="B916" s="201"/>
      <c r="C916" s="199">
        <f t="shared" si="14"/>
        <v>0</v>
      </c>
      <c r="D916" s="202"/>
    </row>
    <row r="917" spans="1:4" ht="13.5" customHeight="1">
      <c r="A917" s="207" t="s">
        <v>954</v>
      </c>
      <c r="B917" s="201"/>
      <c r="C917" s="199">
        <f t="shared" si="14"/>
        <v>0</v>
      </c>
      <c r="D917" s="202"/>
    </row>
    <row r="918" spans="1:4" ht="13.5" customHeight="1">
      <c r="A918" s="207" t="s">
        <v>1053</v>
      </c>
      <c r="B918" s="201">
        <v>2000</v>
      </c>
      <c r="C918" s="199">
        <f t="shared" si="14"/>
        <v>1978</v>
      </c>
      <c r="D918" s="202">
        <f>22</f>
        <v>22</v>
      </c>
    </row>
    <row r="919" spans="1:4" ht="13.5" customHeight="1">
      <c r="A919" s="207" t="s">
        <v>1054</v>
      </c>
      <c r="B919" s="201"/>
      <c r="C919" s="199">
        <f t="shared" si="14"/>
        <v>0</v>
      </c>
      <c r="D919" s="202"/>
    </row>
    <row r="920" spans="1:4" ht="13.5" customHeight="1">
      <c r="A920" s="207" t="s">
        <v>1055</v>
      </c>
      <c r="B920" s="201"/>
      <c r="C920" s="199">
        <f t="shared" si="14"/>
        <v>0</v>
      </c>
      <c r="D920" s="202"/>
    </row>
    <row r="921" spans="1:4" ht="13.5" customHeight="1">
      <c r="A921" s="207" t="s">
        <v>1056</v>
      </c>
      <c r="B921" s="201"/>
      <c r="C921" s="199">
        <f t="shared" si="14"/>
        <v>0</v>
      </c>
      <c r="D921" s="202"/>
    </row>
    <row r="922" spans="1:4" ht="13.5" customHeight="1">
      <c r="A922" s="207" t="s">
        <v>1057</v>
      </c>
      <c r="B922" s="201"/>
      <c r="C922" s="199">
        <f t="shared" si="14"/>
        <v>0</v>
      </c>
      <c r="D922" s="202"/>
    </row>
    <row r="923" spans="1:4" ht="13.5" customHeight="1">
      <c r="A923" s="207" t="s">
        <v>1058</v>
      </c>
      <c r="B923" s="201"/>
      <c r="C923" s="199">
        <f t="shared" si="14"/>
        <v>0</v>
      </c>
      <c r="D923" s="202"/>
    </row>
    <row r="924" spans="1:4" ht="13.5" customHeight="1">
      <c r="A924" s="207" t="s">
        <v>1059</v>
      </c>
      <c r="B924" s="201"/>
      <c r="C924" s="199">
        <f t="shared" si="14"/>
        <v>0</v>
      </c>
      <c r="D924" s="202"/>
    </row>
    <row r="925" spans="1:4" ht="13.5" customHeight="1">
      <c r="A925" s="215" t="s">
        <v>1060</v>
      </c>
      <c r="B925" s="202">
        <f>SUM(B926:B930)</f>
        <v>981</v>
      </c>
      <c r="C925" s="199">
        <f t="shared" si="14"/>
        <v>764</v>
      </c>
      <c r="D925" s="202">
        <f>SUM(D926:D930)</f>
        <v>217</v>
      </c>
    </row>
    <row r="926" spans="1:4" ht="13.5" customHeight="1">
      <c r="A926" s="207" t="s">
        <v>1061</v>
      </c>
      <c r="B926" s="201"/>
      <c r="C926" s="199">
        <f t="shared" si="14"/>
        <v>0</v>
      </c>
      <c r="D926" s="202"/>
    </row>
    <row r="927" spans="1:4" ht="13.5" customHeight="1">
      <c r="A927" s="207" t="s">
        <v>1062</v>
      </c>
      <c r="B927" s="201">
        <v>981</v>
      </c>
      <c r="C927" s="199">
        <f t="shared" si="14"/>
        <v>764</v>
      </c>
      <c r="D927" s="202">
        <v>217</v>
      </c>
    </row>
    <row r="928" spans="1:4" ht="13.5" customHeight="1">
      <c r="A928" s="207" t="s">
        <v>1063</v>
      </c>
      <c r="B928" s="201"/>
      <c r="C928" s="199">
        <f t="shared" si="14"/>
        <v>0</v>
      </c>
      <c r="D928" s="202"/>
    </row>
    <row r="929" spans="1:4" ht="13.5" customHeight="1">
      <c r="A929" s="207" t="s">
        <v>1064</v>
      </c>
      <c r="B929" s="201"/>
      <c r="C929" s="199">
        <f t="shared" si="14"/>
        <v>0</v>
      </c>
      <c r="D929" s="202"/>
    </row>
    <row r="930" spans="1:4" ht="13.5" customHeight="1">
      <c r="A930" s="207" t="s">
        <v>1065</v>
      </c>
      <c r="B930" s="201"/>
      <c r="C930" s="199">
        <f t="shared" si="14"/>
        <v>0</v>
      </c>
      <c r="D930" s="202"/>
    </row>
    <row r="931" spans="1:4" ht="13.5" customHeight="1">
      <c r="A931" s="215" t="s">
        <v>1066</v>
      </c>
      <c r="B931" s="201">
        <f>SUM(B932:B937)</f>
        <v>150</v>
      </c>
      <c r="C931" s="199">
        <f t="shared" si="14"/>
        <v>150</v>
      </c>
      <c r="D931" s="202">
        <f>SUM(D932:D937)</f>
        <v>0</v>
      </c>
    </row>
    <row r="932" spans="1:4" ht="13.5" customHeight="1">
      <c r="A932" s="207" t="s">
        <v>1067</v>
      </c>
      <c r="B932" s="201">
        <v>50</v>
      </c>
      <c r="C932" s="199">
        <f t="shared" si="14"/>
        <v>50</v>
      </c>
      <c r="D932" s="202"/>
    </row>
    <row r="933" spans="1:4" ht="13.5" customHeight="1">
      <c r="A933" s="207" t="s">
        <v>1068</v>
      </c>
      <c r="B933" s="201"/>
      <c r="C933" s="199">
        <f t="shared" si="14"/>
        <v>0</v>
      </c>
      <c r="D933" s="202"/>
    </row>
    <row r="934" spans="1:4" ht="13.5" customHeight="1">
      <c r="A934" s="207" t="s">
        <v>1069</v>
      </c>
      <c r="B934" s="201"/>
      <c r="C934" s="199">
        <f t="shared" si="14"/>
        <v>0</v>
      </c>
      <c r="D934" s="202"/>
    </row>
    <row r="935" spans="1:4" ht="13.5" customHeight="1">
      <c r="A935" s="207" t="s">
        <v>1070</v>
      </c>
      <c r="B935" s="201"/>
      <c r="C935" s="199">
        <f t="shared" si="14"/>
        <v>0</v>
      </c>
      <c r="D935" s="202"/>
    </row>
    <row r="936" spans="1:4" ht="13.5" customHeight="1">
      <c r="A936" s="207" t="s">
        <v>1071</v>
      </c>
      <c r="B936" s="201"/>
      <c r="C936" s="199">
        <f t="shared" si="14"/>
        <v>0</v>
      </c>
      <c r="D936" s="202"/>
    </row>
    <row r="937" spans="1:4" ht="13.5" customHeight="1">
      <c r="A937" s="207" t="s">
        <v>1072</v>
      </c>
      <c r="B937" s="201">
        <v>100</v>
      </c>
      <c r="C937" s="199">
        <f t="shared" si="14"/>
        <v>100</v>
      </c>
      <c r="D937" s="202"/>
    </row>
    <row r="938" spans="1:4" ht="13.5" customHeight="1">
      <c r="A938" s="215" t="s">
        <v>1073</v>
      </c>
      <c r="B938" s="201">
        <f>SUM(B939:B944)</f>
        <v>0</v>
      </c>
      <c r="C938" s="199">
        <f t="shared" si="14"/>
        <v>0</v>
      </c>
      <c r="D938" s="202">
        <f>SUM(D939:D944)</f>
        <v>0</v>
      </c>
    </row>
    <row r="939" spans="1:4" ht="13.5" customHeight="1">
      <c r="A939" s="207" t="s">
        <v>1074</v>
      </c>
      <c r="B939" s="201"/>
      <c r="C939" s="199">
        <f t="shared" si="14"/>
        <v>0</v>
      </c>
      <c r="D939" s="202"/>
    </row>
    <row r="940" spans="1:4" ht="13.5" customHeight="1">
      <c r="A940" s="207" t="s">
        <v>1075</v>
      </c>
      <c r="B940" s="201"/>
      <c r="C940" s="199">
        <f t="shared" si="14"/>
        <v>0</v>
      </c>
      <c r="D940" s="202"/>
    </row>
    <row r="941" spans="1:4" ht="13.5" customHeight="1">
      <c r="A941" s="207" t="s">
        <v>1076</v>
      </c>
      <c r="B941" s="201"/>
      <c r="C941" s="199">
        <f t="shared" si="14"/>
        <v>0</v>
      </c>
      <c r="D941" s="202"/>
    </row>
    <row r="942" spans="1:4" ht="13.5" customHeight="1">
      <c r="A942" s="207" t="s">
        <v>1077</v>
      </c>
      <c r="B942" s="201"/>
      <c r="C942" s="199">
        <f t="shared" si="14"/>
        <v>0</v>
      </c>
      <c r="D942" s="202"/>
    </row>
    <row r="943" spans="1:4" ht="13.5" customHeight="1">
      <c r="A943" s="207" t="s">
        <v>1078</v>
      </c>
      <c r="B943" s="201"/>
      <c r="C943" s="199">
        <f t="shared" si="14"/>
        <v>0</v>
      </c>
      <c r="D943" s="202"/>
    </row>
    <row r="944" spans="1:4" ht="13.5" customHeight="1">
      <c r="A944" s="207" t="s">
        <v>1079</v>
      </c>
      <c r="B944" s="201"/>
      <c r="C944" s="199">
        <f t="shared" si="14"/>
        <v>0</v>
      </c>
      <c r="D944" s="202"/>
    </row>
    <row r="945" spans="1:4" ht="13.5" customHeight="1">
      <c r="A945" s="215" t="s">
        <v>1080</v>
      </c>
      <c r="B945" s="201">
        <f>SUM(B946:B948)</f>
        <v>0</v>
      </c>
      <c r="C945" s="199">
        <f t="shared" si="14"/>
        <v>0</v>
      </c>
      <c r="D945" s="202">
        <f>SUM(D946:D948)</f>
        <v>0</v>
      </c>
    </row>
    <row r="946" spans="1:4" ht="13.5" customHeight="1">
      <c r="A946" s="207" t="s">
        <v>1081</v>
      </c>
      <c r="B946" s="201"/>
      <c r="C946" s="199">
        <f t="shared" si="14"/>
        <v>0</v>
      </c>
      <c r="D946" s="202"/>
    </row>
    <row r="947" spans="1:4" ht="13.5" customHeight="1">
      <c r="A947" s="207" t="s">
        <v>1082</v>
      </c>
      <c r="B947" s="201"/>
      <c r="C947" s="199">
        <f t="shared" si="14"/>
        <v>0</v>
      </c>
      <c r="D947" s="202"/>
    </row>
    <row r="948" spans="1:4" ht="13.5" customHeight="1">
      <c r="A948" s="207" t="s">
        <v>1083</v>
      </c>
      <c r="B948" s="201"/>
      <c r="C948" s="199">
        <f t="shared" si="14"/>
        <v>0</v>
      </c>
      <c r="D948" s="202"/>
    </row>
    <row r="949" spans="1:4" ht="13.5" customHeight="1">
      <c r="A949" s="215" t="s">
        <v>1084</v>
      </c>
      <c r="B949" s="201">
        <f>SUM(B950:B951)</f>
        <v>16</v>
      </c>
      <c r="C949" s="199">
        <f t="shared" si="14"/>
        <v>0</v>
      </c>
      <c r="D949" s="202">
        <f>SUM(D950:D951)</f>
        <v>16</v>
      </c>
    </row>
    <row r="950" spans="1:4" ht="13.5" customHeight="1">
      <c r="A950" s="207" t="s">
        <v>1085</v>
      </c>
      <c r="B950" s="201"/>
      <c r="C950" s="199">
        <f t="shared" si="14"/>
        <v>0</v>
      </c>
      <c r="D950" s="202"/>
    </row>
    <row r="951" spans="1:4" ht="13.5" customHeight="1">
      <c r="A951" s="207" t="s">
        <v>1086</v>
      </c>
      <c r="B951" s="201">
        <v>16</v>
      </c>
      <c r="C951" s="199">
        <f t="shared" si="14"/>
        <v>0</v>
      </c>
      <c r="D951" s="202">
        <v>16</v>
      </c>
    </row>
    <row r="952" spans="1:4" ht="13.5" customHeight="1">
      <c r="A952" s="215" t="s">
        <v>1087</v>
      </c>
      <c r="B952" s="201">
        <f>SUM(B953,B983,B993,B1003,B1008,B1015,B1020)</f>
        <v>25078</v>
      </c>
      <c r="C952" s="199">
        <f t="shared" si="14"/>
        <v>4599</v>
      </c>
      <c r="D952" s="202">
        <f>SUM(D953,D983,D993,D1003,D1008,D1015,D1020)</f>
        <v>20479</v>
      </c>
    </row>
    <row r="953" spans="1:4" ht="13.5" customHeight="1">
      <c r="A953" s="215" t="s">
        <v>1088</v>
      </c>
      <c r="B953" s="201">
        <f>SUM(B954:B982)</f>
        <v>20142</v>
      </c>
      <c r="C953" s="199">
        <f t="shared" si="14"/>
        <v>4505</v>
      </c>
      <c r="D953" s="202">
        <f>SUM(D954:D982)</f>
        <v>15637</v>
      </c>
    </row>
    <row r="954" spans="1:4" ht="13.5" customHeight="1">
      <c r="A954" s="207" t="s">
        <v>952</v>
      </c>
      <c r="B954" s="201">
        <f>3658+1000+600</f>
        <v>5258</v>
      </c>
      <c r="C954" s="199">
        <f t="shared" si="14"/>
        <v>1550</v>
      </c>
      <c r="D954" s="202">
        <f>3+2700+1005</f>
        <v>3708</v>
      </c>
    </row>
    <row r="955" spans="1:4" ht="13.5" customHeight="1">
      <c r="A955" s="207" t="s">
        <v>953</v>
      </c>
      <c r="B955" s="201">
        <f>497+100</f>
        <v>597</v>
      </c>
      <c r="C955" s="199">
        <f t="shared" si="14"/>
        <v>297</v>
      </c>
      <c r="D955" s="202">
        <v>300</v>
      </c>
    </row>
    <row r="956" spans="1:4" ht="13.5" customHeight="1">
      <c r="A956" s="207" t="s">
        <v>954</v>
      </c>
      <c r="B956" s="201"/>
      <c r="C956" s="199">
        <f t="shared" si="14"/>
        <v>0</v>
      </c>
      <c r="D956" s="202"/>
    </row>
    <row r="957" spans="1:4" ht="13.5" customHeight="1">
      <c r="A957" s="207" t="s">
        <v>1089</v>
      </c>
      <c r="B957" s="201"/>
      <c r="C957" s="199">
        <f t="shared" si="14"/>
        <v>0</v>
      </c>
      <c r="D957" s="202"/>
    </row>
    <row r="958" spans="1:4" ht="13.5" customHeight="1">
      <c r="A958" s="207" t="s">
        <v>1090</v>
      </c>
      <c r="B958" s="201">
        <v>162</v>
      </c>
      <c r="C958" s="199">
        <f t="shared" si="14"/>
        <v>0</v>
      </c>
      <c r="D958" s="202">
        <v>162</v>
      </c>
    </row>
    <row r="959" spans="1:4" ht="13.5" customHeight="1">
      <c r="A959" s="207" t="s">
        <v>1091</v>
      </c>
      <c r="B959" s="201">
        <f>6502-1000</f>
        <v>5502</v>
      </c>
      <c r="C959" s="199">
        <f t="shared" si="14"/>
        <v>0</v>
      </c>
      <c r="D959" s="202">
        <v>5502</v>
      </c>
    </row>
    <row r="960" spans="1:4" ht="13.5" customHeight="1">
      <c r="A960" s="207" t="s">
        <v>1092</v>
      </c>
      <c r="B960" s="201"/>
      <c r="C960" s="199">
        <f t="shared" si="14"/>
        <v>0</v>
      </c>
      <c r="D960" s="202"/>
    </row>
    <row r="961" spans="1:4" ht="13.5" customHeight="1">
      <c r="A961" s="207" t="s">
        <v>1093</v>
      </c>
      <c r="B961" s="201">
        <v>376</v>
      </c>
      <c r="C961" s="199">
        <f t="shared" si="14"/>
        <v>276</v>
      </c>
      <c r="D961" s="202">
        <v>100</v>
      </c>
    </row>
    <row r="962" spans="1:4" ht="13.5" customHeight="1">
      <c r="A962" s="207" t="s">
        <v>1094</v>
      </c>
      <c r="B962" s="201"/>
      <c r="C962" s="199">
        <f t="shared" si="14"/>
        <v>0</v>
      </c>
      <c r="D962" s="202"/>
    </row>
    <row r="963" spans="1:4" ht="13.5" customHeight="1">
      <c r="A963" s="207" t="s">
        <v>1095</v>
      </c>
      <c r="B963" s="201"/>
      <c r="C963" s="199">
        <f t="shared" si="14"/>
        <v>0</v>
      </c>
      <c r="D963" s="202"/>
    </row>
    <row r="964" spans="1:4" ht="13.5" customHeight="1">
      <c r="A964" s="207" t="s">
        <v>1096</v>
      </c>
      <c r="B964" s="201"/>
      <c r="C964" s="199">
        <f t="shared" si="14"/>
        <v>0</v>
      </c>
      <c r="D964" s="202"/>
    </row>
    <row r="965" spans="1:4" ht="13.5" customHeight="1">
      <c r="A965" s="207" t="s">
        <v>1097</v>
      </c>
      <c r="B965" s="201"/>
      <c r="C965" s="199">
        <f t="shared" si="14"/>
        <v>0</v>
      </c>
      <c r="D965" s="202"/>
    </row>
    <row r="966" spans="1:4" ht="13.5" customHeight="1">
      <c r="A966" s="207" t="s">
        <v>1098</v>
      </c>
      <c r="B966" s="201"/>
      <c r="C966" s="199">
        <f t="shared" si="14"/>
        <v>0</v>
      </c>
      <c r="D966" s="202"/>
    </row>
    <row r="967" spans="1:4" ht="13.5" customHeight="1">
      <c r="A967" s="207" t="s">
        <v>1099</v>
      </c>
      <c r="B967" s="201"/>
      <c r="C967" s="199">
        <f aca="true" t="shared" si="15" ref="C967:C1030">B967-D967</f>
        <v>0</v>
      </c>
      <c r="D967" s="202"/>
    </row>
    <row r="968" spans="1:4" ht="13.5" customHeight="1">
      <c r="A968" s="207" t="s">
        <v>1100</v>
      </c>
      <c r="B968" s="201"/>
      <c r="C968" s="199">
        <f t="shared" si="15"/>
        <v>0</v>
      </c>
      <c r="D968" s="202"/>
    </row>
    <row r="969" spans="1:4" ht="13.5" customHeight="1">
      <c r="A969" s="207" t="s">
        <v>1101</v>
      </c>
      <c r="B969" s="201"/>
      <c r="C969" s="199">
        <f t="shared" si="15"/>
        <v>0</v>
      </c>
      <c r="D969" s="202"/>
    </row>
    <row r="970" spans="1:4" ht="13.5" customHeight="1">
      <c r="A970" s="207" t="s">
        <v>1102</v>
      </c>
      <c r="B970" s="201"/>
      <c r="C970" s="199">
        <f t="shared" si="15"/>
        <v>0</v>
      </c>
      <c r="D970" s="202"/>
    </row>
    <row r="971" spans="1:4" ht="13.5" customHeight="1">
      <c r="A971" s="207" t="s">
        <v>1103</v>
      </c>
      <c r="B971" s="201"/>
      <c r="C971" s="199">
        <f t="shared" si="15"/>
        <v>0</v>
      </c>
      <c r="D971" s="202"/>
    </row>
    <row r="972" spans="1:4" ht="13.5" customHeight="1">
      <c r="A972" s="207" t="s">
        <v>1104</v>
      </c>
      <c r="B972" s="201"/>
      <c r="C972" s="199">
        <f t="shared" si="15"/>
        <v>0</v>
      </c>
      <c r="D972" s="202"/>
    </row>
    <row r="973" spans="1:4" ht="13.5" customHeight="1">
      <c r="A973" s="207" t="s">
        <v>1105</v>
      </c>
      <c r="B973" s="201"/>
      <c r="C973" s="199">
        <f t="shared" si="15"/>
        <v>0</v>
      </c>
      <c r="D973" s="202"/>
    </row>
    <row r="974" spans="1:4" ht="13.5" customHeight="1">
      <c r="A974" s="207" t="s">
        <v>1106</v>
      </c>
      <c r="B974" s="201"/>
      <c r="C974" s="199">
        <f t="shared" si="15"/>
        <v>0</v>
      </c>
      <c r="D974" s="202"/>
    </row>
    <row r="975" spans="1:4" ht="13.5" customHeight="1">
      <c r="A975" s="207" t="s">
        <v>1107</v>
      </c>
      <c r="B975" s="201"/>
      <c r="C975" s="199">
        <f t="shared" si="15"/>
        <v>0</v>
      </c>
      <c r="D975" s="202"/>
    </row>
    <row r="976" spans="1:4" ht="13.5" customHeight="1">
      <c r="A976" s="207" t="s">
        <v>1108</v>
      </c>
      <c r="B976" s="201"/>
      <c r="C976" s="199">
        <f t="shared" si="15"/>
        <v>0</v>
      </c>
      <c r="D976" s="202"/>
    </row>
    <row r="977" spans="1:4" ht="13.5" customHeight="1">
      <c r="A977" s="207" t="s">
        <v>1109</v>
      </c>
      <c r="B977" s="201">
        <v>682</v>
      </c>
      <c r="C977" s="199">
        <f t="shared" si="15"/>
        <v>682</v>
      </c>
      <c r="D977" s="202"/>
    </row>
    <row r="978" spans="1:4" ht="13.5" customHeight="1">
      <c r="A978" s="207" t="s">
        <v>1110</v>
      </c>
      <c r="B978" s="201"/>
      <c r="C978" s="199">
        <f t="shared" si="15"/>
        <v>0</v>
      </c>
      <c r="D978" s="202"/>
    </row>
    <row r="979" spans="1:4" ht="13.5" customHeight="1">
      <c r="A979" s="207" t="s">
        <v>1111</v>
      </c>
      <c r="B979" s="201"/>
      <c r="C979" s="199">
        <f t="shared" si="15"/>
        <v>0</v>
      </c>
      <c r="D979" s="202"/>
    </row>
    <row r="980" spans="1:4" ht="13.5" customHeight="1">
      <c r="A980" s="207" t="s">
        <v>1112</v>
      </c>
      <c r="B980" s="201"/>
      <c r="C980" s="199">
        <f t="shared" si="15"/>
        <v>0</v>
      </c>
      <c r="D980" s="202"/>
    </row>
    <row r="981" spans="1:4" ht="13.5" customHeight="1">
      <c r="A981" s="207" t="s">
        <v>1113</v>
      </c>
      <c r="B981" s="201">
        <f>4854+2711-40</f>
        <v>7525</v>
      </c>
      <c r="C981" s="199">
        <f t="shared" si="15"/>
        <v>1671</v>
      </c>
      <c r="D981" s="202">
        <v>5854</v>
      </c>
    </row>
    <row r="982" spans="1:4" ht="13.5" customHeight="1">
      <c r="A982" s="207" t="s">
        <v>1114</v>
      </c>
      <c r="B982" s="201">
        <v>40</v>
      </c>
      <c r="C982" s="199">
        <f t="shared" si="15"/>
        <v>29</v>
      </c>
      <c r="D982" s="202">
        <v>11</v>
      </c>
    </row>
    <row r="983" spans="1:4" ht="13.5" customHeight="1">
      <c r="A983" s="215" t="s">
        <v>1115</v>
      </c>
      <c r="B983" s="201">
        <f>SUM(B984:B992)</f>
        <v>0</v>
      </c>
      <c r="C983" s="199">
        <f t="shared" si="15"/>
        <v>0</v>
      </c>
      <c r="D983" s="202">
        <f>SUM(D984:D992)</f>
        <v>0</v>
      </c>
    </row>
    <row r="984" spans="1:4" ht="13.5" customHeight="1">
      <c r="A984" s="207" t="s">
        <v>952</v>
      </c>
      <c r="B984" s="201"/>
      <c r="C984" s="199">
        <f t="shared" si="15"/>
        <v>0</v>
      </c>
      <c r="D984" s="202"/>
    </row>
    <row r="985" spans="1:4" ht="13.5" customHeight="1">
      <c r="A985" s="207" t="s">
        <v>953</v>
      </c>
      <c r="B985" s="201"/>
      <c r="C985" s="199">
        <f t="shared" si="15"/>
        <v>0</v>
      </c>
      <c r="D985" s="202"/>
    </row>
    <row r="986" spans="1:4" ht="13.5" customHeight="1">
      <c r="A986" s="207" t="s">
        <v>954</v>
      </c>
      <c r="B986" s="201"/>
      <c r="C986" s="199">
        <f t="shared" si="15"/>
        <v>0</v>
      </c>
      <c r="D986" s="202"/>
    </row>
    <row r="987" spans="1:4" ht="13.5" customHeight="1">
      <c r="A987" s="207" t="s">
        <v>1116</v>
      </c>
      <c r="B987" s="201"/>
      <c r="C987" s="199">
        <f t="shared" si="15"/>
        <v>0</v>
      </c>
      <c r="D987" s="202"/>
    </row>
    <row r="988" spans="1:4" ht="13.5" customHeight="1">
      <c r="A988" s="207" t="s">
        <v>1117</v>
      </c>
      <c r="B988" s="201"/>
      <c r="C988" s="199">
        <f t="shared" si="15"/>
        <v>0</v>
      </c>
      <c r="D988" s="202"/>
    </row>
    <row r="989" spans="1:4" ht="13.5" customHeight="1">
      <c r="A989" s="207" t="s">
        <v>1118</v>
      </c>
      <c r="B989" s="201"/>
      <c r="C989" s="199">
        <f t="shared" si="15"/>
        <v>0</v>
      </c>
      <c r="D989" s="202"/>
    </row>
    <row r="990" spans="1:4" ht="13.5" customHeight="1">
      <c r="A990" s="207" t="s">
        <v>1119</v>
      </c>
      <c r="B990" s="201"/>
      <c r="C990" s="199">
        <f t="shared" si="15"/>
        <v>0</v>
      </c>
      <c r="D990" s="202"/>
    </row>
    <row r="991" spans="1:4" ht="13.5" customHeight="1">
      <c r="A991" s="207" t="s">
        <v>1120</v>
      </c>
      <c r="B991" s="201"/>
      <c r="C991" s="199">
        <f t="shared" si="15"/>
        <v>0</v>
      </c>
      <c r="D991" s="202"/>
    </row>
    <row r="992" spans="1:4" ht="13.5" customHeight="1">
      <c r="A992" s="207" t="s">
        <v>1121</v>
      </c>
      <c r="B992" s="201"/>
      <c r="C992" s="199">
        <f t="shared" si="15"/>
        <v>0</v>
      </c>
      <c r="D992" s="202"/>
    </row>
    <row r="993" spans="1:4" ht="13.5" customHeight="1">
      <c r="A993" s="215" t="s">
        <v>1122</v>
      </c>
      <c r="B993" s="201">
        <f>SUM(B994:B1002)</f>
        <v>0</v>
      </c>
      <c r="C993" s="199">
        <f t="shared" si="15"/>
        <v>0</v>
      </c>
      <c r="D993" s="202">
        <f>SUM(D994:D1002)</f>
        <v>0</v>
      </c>
    </row>
    <row r="994" spans="1:4" ht="13.5" customHeight="1">
      <c r="A994" s="207" t="s">
        <v>952</v>
      </c>
      <c r="B994" s="201"/>
      <c r="C994" s="199">
        <f t="shared" si="15"/>
        <v>0</v>
      </c>
      <c r="D994" s="202"/>
    </row>
    <row r="995" spans="1:4" ht="13.5" customHeight="1">
      <c r="A995" s="207" t="s">
        <v>953</v>
      </c>
      <c r="B995" s="201"/>
      <c r="C995" s="199">
        <f t="shared" si="15"/>
        <v>0</v>
      </c>
      <c r="D995" s="202"/>
    </row>
    <row r="996" spans="1:4" ht="13.5" customHeight="1">
      <c r="A996" s="207" t="s">
        <v>954</v>
      </c>
      <c r="B996" s="201"/>
      <c r="C996" s="199">
        <f t="shared" si="15"/>
        <v>0</v>
      </c>
      <c r="D996" s="202"/>
    </row>
    <row r="997" spans="1:4" ht="13.5" customHeight="1">
      <c r="A997" s="207" t="s">
        <v>1123</v>
      </c>
      <c r="B997" s="201"/>
      <c r="C997" s="199">
        <f t="shared" si="15"/>
        <v>0</v>
      </c>
      <c r="D997" s="202"/>
    </row>
    <row r="998" spans="1:4" ht="13.5" customHeight="1">
      <c r="A998" s="207" t="s">
        <v>1124</v>
      </c>
      <c r="B998" s="201"/>
      <c r="C998" s="199">
        <f t="shared" si="15"/>
        <v>0</v>
      </c>
      <c r="D998" s="202"/>
    </row>
    <row r="999" spans="1:4" ht="13.5" customHeight="1">
      <c r="A999" s="207" t="s">
        <v>1125</v>
      </c>
      <c r="B999" s="201"/>
      <c r="C999" s="199">
        <f t="shared" si="15"/>
        <v>0</v>
      </c>
      <c r="D999" s="202"/>
    </row>
    <row r="1000" spans="1:4" ht="13.5" customHeight="1">
      <c r="A1000" s="207" t="s">
        <v>1126</v>
      </c>
      <c r="B1000" s="201"/>
      <c r="C1000" s="199">
        <f t="shared" si="15"/>
        <v>0</v>
      </c>
      <c r="D1000" s="202"/>
    </row>
    <row r="1001" spans="1:4" ht="13.5" customHeight="1">
      <c r="A1001" s="207" t="s">
        <v>1127</v>
      </c>
      <c r="B1001" s="201"/>
      <c r="C1001" s="199">
        <f t="shared" si="15"/>
        <v>0</v>
      </c>
      <c r="D1001" s="202"/>
    </row>
    <row r="1002" spans="1:4" ht="13.5" customHeight="1">
      <c r="A1002" s="207" t="s">
        <v>1128</v>
      </c>
      <c r="B1002" s="201"/>
      <c r="C1002" s="199">
        <f t="shared" si="15"/>
        <v>0</v>
      </c>
      <c r="D1002" s="202"/>
    </row>
    <row r="1003" spans="1:4" ht="13.5" customHeight="1">
      <c r="A1003" s="215" t="s">
        <v>1129</v>
      </c>
      <c r="B1003" s="201">
        <f>SUM(B1004:B1007)</f>
        <v>4816</v>
      </c>
      <c r="C1003" s="199">
        <f t="shared" si="15"/>
        <v>0</v>
      </c>
      <c r="D1003" s="202">
        <f>SUM(D1004:D1007)</f>
        <v>4816</v>
      </c>
    </row>
    <row r="1004" spans="1:4" ht="13.5" customHeight="1">
      <c r="A1004" s="207" t="s">
        <v>1130</v>
      </c>
      <c r="B1004" s="201">
        <v>4020</v>
      </c>
      <c r="C1004" s="199">
        <f t="shared" si="15"/>
        <v>0</v>
      </c>
      <c r="D1004" s="202">
        <v>4020</v>
      </c>
    </row>
    <row r="1005" spans="1:4" ht="13.5" customHeight="1">
      <c r="A1005" s="207" t="s">
        <v>1131</v>
      </c>
      <c r="B1005" s="201"/>
      <c r="C1005" s="199">
        <f t="shared" si="15"/>
        <v>0</v>
      </c>
      <c r="D1005" s="202"/>
    </row>
    <row r="1006" spans="1:4" ht="13.5" customHeight="1">
      <c r="A1006" s="207" t="s">
        <v>1132</v>
      </c>
      <c r="B1006" s="201">
        <v>796</v>
      </c>
      <c r="C1006" s="199">
        <f t="shared" si="15"/>
        <v>0</v>
      </c>
      <c r="D1006" s="202">
        <v>796</v>
      </c>
    </row>
    <row r="1007" spans="1:4" ht="13.5" customHeight="1">
      <c r="A1007" s="207" t="s">
        <v>1133</v>
      </c>
      <c r="B1007" s="201"/>
      <c r="C1007" s="199">
        <f t="shared" si="15"/>
        <v>0</v>
      </c>
      <c r="D1007" s="202"/>
    </row>
    <row r="1008" spans="1:4" ht="13.5" customHeight="1">
      <c r="A1008" s="215" t="s">
        <v>1134</v>
      </c>
      <c r="B1008" s="201">
        <f>SUM(B1009:B1014)</f>
        <v>0</v>
      </c>
      <c r="C1008" s="199">
        <f t="shared" si="15"/>
        <v>0</v>
      </c>
      <c r="D1008" s="202">
        <f>SUM(D1009:D1014)</f>
        <v>0</v>
      </c>
    </row>
    <row r="1009" spans="1:4" ht="13.5" customHeight="1">
      <c r="A1009" s="207" t="s">
        <v>952</v>
      </c>
      <c r="B1009" s="201"/>
      <c r="C1009" s="199">
        <f t="shared" si="15"/>
        <v>0</v>
      </c>
      <c r="D1009" s="202"/>
    </row>
    <row r="1010" spans="1:4" ht="13.5" customHeight="1">
      <c r="A1010" s="207" t="s">
        <v>953</v>
      </c>
      <c r="B1010" s="201"/>
      <c r="C1010" s="199">
        <f t="shared" si="15"/>
        <v>0</v>
      </c>
      <c r="D1010" s="202"/>
    </row>
    <row r="1011" spans="1:4" ht="13.5" customHeight="1">
      <c r="A1011" s="207" t="s">
        <v>954</v>
      </c>
      <c r="B1011" s="201"/>
      <c r="C1011" s="199">
        <f t="shared" si="15"/>
        <v>0</v>
      </c>
      <c r="D1011" s="202"/>
    </row>
    <row r="1012" spans="1:4" ht="13.5" customHeight="1">
      <c r="A1012" s="207" t="s">
        <v>1120</v>
      </c>
      <c r="B1012" s="201"/>
      <c r="C1012" s="199">
        <f t="shared" si="15"/>
        <v>0</v>
      </c>
      <c r="D1012" s="202"/>
    </row>
    <row r="1013" spans="1:4" ht="13.5" customHeight="1">
      <c r="A1013" s="207" t="s">
        <v>1135</v>
      </c>
      <c r="B1013" s="201"/>
      <c r="C1013" s="199">
        <f t="shared" si="15"/>
        <v>0</v>
      </c>
      <c r="D1013" s="202"/>
    </row>
    <row r="1014" spans="1:4" ht="13.5" customHeight="1">
      <c r="A1014" s="207" t="s">
        <v>1136</v>
      </c>
      <c r="B1014" s="201"/>
      <c r="C1014" s="199">
        <f t="shared" si="15"/>
        <v>0</v>
      </c>
      <c r="D1014" s="202"/>
    </row>
    <row r="1015" spans="1:4" ht="13.5" customHeight="1">
      <c r="A1015" s="215" t="s">
        <v>1137</v>
      </c>
      <c r="B1015" s="201">
        <f>SUM(B1016:B1019)</f>
        <v>0</v>
      </c>
      <c r="C1015" s="199">
        <f t="shared" si="15"/>
        <v>0</v>
      </c>
      <c r="D1015" s="202">
        <f>SUM(D1016:D1019)</f>
        <v>0</v>
      </c>
    </row>
    <row r="1016" spans="1:4" ht="13.5" customHeight="1">
      <c r="A1016" s="207" t="s">
        <v>1138</v>
      </c>
      <c r="B1016" s="201"/>
      <c r="C1016" s="199">
        <f t="shared" si="15"/>
        <v>0</v>
      </c>
      <c r="D1016" s="202"/>
    </row>
    <row r="1017" spans="1:4" ht="13.5" customHeight="1">
      <c r="A1017" s="207" t="s">
        <v>1139</v>
      </c>
      <c r="B1017" s="201"/>
      <c r="C1017" s="199">
        <f t="shared" si="15"/>
        <v>0</v>
      </c>
      <c r="D1017" s="202"/>
    </row>
    <row r="1018" spans="1:4" ht="13.5" customHeight="1">
      <c r="A1018" s="207" t="s">
        <v>1140</v>
      </c>
      <c r="B1018" s="201"/>
      <c r="C1018" s="199">
        <f t="shared" si="15"/>
        <v>0</v>
      </c>
      <c r="D1018" s="202"/>
    </row>
    <row r="1019" spans="1:4" ht="13.5" customHeight="1">
      <c r="A1019" s="207" t="s">
        <v>1141</v>
      </c>
      <c r="B1019" s="201"/>
      <c r="C1019" s="199">
        <f t="shared" si="15"/>
        <v>0</v>
      </c>
      <c r="D1019" s="202"/>
    </row>
    <row r="1020" spans="1:4" ht="13.5" customHeight="1">
      <c r="A1020" s="215" t="s">
        <v>1142</v>
      </c>
      <c r="B1020" s="201">
        <f>SUM(B1021:B1022)</f>
        <v>120</v>
      </c>
      <c r="C1020" s="199">
        <f t="shared" si="15"/>
        <v>94</v>
      </c>
      <c r="D1020" s="202">
        <f>SUM(D1021:D1022)</f>
        <v>26</v>
      </c>
    </row>
    <row r="1021" spans="1:4" ht="13.5" customHeight="1">
      <c r="A1021" s="207" t="s">
        <v>1143</v>
      </c>
      <c r="B1021" s="201"/>
      <c r="C1021" s="199">
        <f t="shared" si="15"/>
        <v>0</v>
      </c>
      <c r="D1021" s="202"/>
    </row>
    <row r="1022" spans="1:4" ht="13.5" customHeight="1">
      <c r="A1022" s="207" t="s">
        <v>1144</v>
      </c>
      <c r="B1022" s="201">
        <v>120</v>
      </c>
      <c r="C1022" s="199">
        <f t="shared" si="15"/>
        <v>94</v>
      </c>
      <c r="D1022" s="202">
        <v>26</v>
      </c>
    </row>
    <row r="1023" spans="1:4" ht="13.5" customHeight="1">
      <c r="A1023" s="215" t="s">
        <v>1145</v>
      </c>
      <c r="B1023" s="201">
        <f>SUM(B1024,B1034,B1050,B1055,B1069,B1077,B1083,B1090)</f>
        <v>3395</v>
      </c>
      <c r="C1023" s="199">
        <f t="shared" si="15"/>
        <v>2692</v>
      </c>
      <c r="D1023" s="202">
        <f>SUM(D1024,D1034,D1050,D1055,D1069,D1077,D1083,D1090)</f>
        <v>703</v>
      </c>
    </row>
    <row r="1024" spans="1:4" ht="13.5" customHeight="1">
      <c r="A1024" s="215" t="s">
        <v>1146</v>
      </c>
      <c r="B1024" s="201">
        <f>SUM(B1025:B1033)</f>
        <v>141</v>
      </c>
      <c r="C1024" s="199">
        <f t="shared" si="15"/>
        <v>141</v>
      </c>
      <c r="D1024" s="202">
        <f>SUM(D1025:D1033)</f>
        <v>0</v>
      </c>
    </row>
    <row r="1025" spans="1:4" ht="13.5" customHeight="1">
      <c r="A1025" s="207" t="s">
        <v>952</v>
      </c>
      <c r="B1025" s="201">
        <v>108</v>
      </c>
      <c r="C1025" s="199">
        <f t="shared" si="15"/>
        <v>108</v>
      </c>
      <c r="D1025" s="202"/>
    </row>
    <row r="1026" spans="1:4" ht="13.5" customHeight="1">
      <c r="A1026" s="207" t="s">
        <v>953</v>
      </c>
      <c r="B1026" s="201">
        <v>33</v>
      </c>
      <c r="C1026" s="199">
        <f t="shared" si="15"/>
        <v>33</v>
      </c>
      <c r="D1026" s="202"/>
    </row>
    <row r="1027" spans="1:4" ht="13.5" customHeight="1">
      <c r="A1027" s="207" t="s">
        <v>954</v>
      </c>
      <c r="B1027" s="201"/>
      <c r="C1027" s="199">
        <f t="shared" si="15"/>
        <v>0</v>
      </c>
      <c r="D1027" s="202"/>
    </row>
    <row r="1028" spans="1:4" ht="13.5" customHeight="1">
      <c r="A1028" s="207" t="s">
        <v>1147</v>
      </c>
      <c r="B1028" s="201"/>
      <c r="C1028" s="199">
        <f t="shared" si="15"/>
        <v>0</v>
      </c>
      <c r="D1028" s="202"/>
    </row>
    <row r="1029" spans="1:4" ht="13.5" customHeight="1">
      <c r="A1029" s="207" t="s">
        <v>1148</v>
      </c>
      <c r="B1029" s="201"/>
      <c r="C1029" s="199">
        <f t="shared" si="15"/>
        <v>0</v>
      </c>
      <c r="D1029" s="202"/>
    </row>
    <row r="1030" spans="1:4" ht="13.5" customHeight="1">
      <c r="A1030" s="207" t="s">
        <v>1149</v>
      </c>
      <c r="B1030" s="201"/>
      <c r="C1030" s="199">
        <f t="shared" si="15"/>
        <v>0</v>
      </c>
      <c r="D1030" s="202"/>
    </row>
    <row r="1031" spans="1:4" ht="13.5" customHeight="1">
      <c r="A1031" s="207" t="s">
        <v>1150</v>
      </c>
      <c r="B1031" s="201"/>
      <c r="C1031" s="199">
        <f aca="true" t="shared" si="16" ref="C1031:C1094">B1031-D1031</f>
        <v>0</v>
      </c>
      <c r="D1031" s="202"/>
    </row>
    <row r="1032" spans="1:4" ht="13.5" customHeight="1">
      <c r="A1032" s="207" t="s">
        <v>1151</v>
      </c>
      <c r="B1032" s="201"/>
      <c r="C1032" s="199">
        <f t="shared" si="16"/>
        <v>0</v>
      </c>
      <c r="D1032" s="202"/>
    </row>
    <row r="1033" spans="1:4" ht="13.5" customHeight="1">
      <c r="A1033" s="207" t="s">
        <v>1152</v>
      </c>
      <c r="B1033" s="201"/>
      <c r="C1033" s="199">
        <f t="shared" si="16"/>
        <v>0</v>
      </c>
      <c r="D1033" s="202"/>
    </row>
    <row r="1034" spans="1:4" ht="13.5" customHeight="1">
      <c r="A1034" s="215" t="s">
        <v>1153</v>
      </c>
      <c r="B1034" s="201">
        <f>SUM(B1035:B1049)</f>
        <v>0</v>
      </c>
      <c r="C1034" s="199">
        <f t="shared" si="16"/>
        <v>0</v>
      </c>
      <c r="D1034" s="202">
        <f>SUM(D1035:D1049)</f>
        <v>0</v>
      </c>
    </row>
    <row r="1035" spans="1:4" ht="13.5" customHeight="1">
      <c r="A1035" s="207" t="s">
        <v>952</v>
      </c>
      <c r="B1035" s="201"/>
      <c r="C1035" s="199">
        <f t="shared" si="16"/>
        <v>0</v>
      </c>
      <c r="D1035" s="202"/>
    </row>
    <row r="1036" spans="1:4" ht="13.5" customHeight="1">
      <c r="A1036" s="207" t="s">
        <v>953</v>
      </c>
      <c r="B1036" s="201"/>
      <c r="C1036" s="199">
        <f t="shared" si="16"/>
        <v>0</v>
      </c>
      <c r="D1036" s="202"/>
    </row>
    <row r="1037" spans="1:4" ht="13.5" customHeight="1">
      <c r="A1037" s="207" t="s">
        <v>954</v>
      </c>
      <c r="B1037" s="201"/>
      <c r="C1037" s="199">
        <f t="shared" si="16"/>
        <v>0</v>
      </c>
      <c r="D1037" s="202"/>
    </row>
    <row r="1038" spans="1:4" ht="13.5" customHeight="1">
      <c r="A1038" s="207" t="s">
        <v>1154</v>
      </c>
      <c r="B1038" s="201"/>
      <c r="C1038" s="199">
        <f t="shared" si="16"/>
        <v>0</v>
      </c>
      <c r="D1038" s="202"/>
    </row>
    <row r="1039" spans="1:4" ht="13.5" customHeight="1">
      <c r="A1039" s="207" t="s">
        <v>1155</v>
      </c>
      <c r="B1039" s="201"/>
      <c r="C1039" s="199">
        <f t="shared" si="16"/>
        <v>0</v>
      </c>
      <c r="D1039" s="202"/>
    </row>
    <row r="1040" spans="1:4" ht="13.5" customHeight="1">
      <c r="A1040" s="207" t="s">
        <v>1156</v>
      </c>
      <c r="B1040" s="201"/>
      <c r="C1040" s="199">
        <f t="shared" si="16"/>
        <v>0</v>
      </c>
      <c r="D1040" s="202"/>
    </row>
    <row r="1041" spans="1:4" ht="13.5" customHeight="1">
      <c r="A1041" s="207" t="s">
        <v>1157</v>
      </c>
      <c r="B1041" s="201"/>
      <c r="C1041" s="199">
        <f t="shared" si="16"/>
        <v>0</v>
      </c>
      <c r="D1041" s="202"/>
    </row>
    <row r="1042" spans="1:4" ht="13.5" customHeight="1">
      <c r="A1042" s="207" t="s">
        <v>1158</v>
      </c>
      <c r="B1042" s="201"/>
      <c r="C1042" s="199">
        <f t="shared" si="16"/>
        <v>0</v>
      </c>
      <c r="D1042" s="202"/>
    </row>
    <row r="1043" spans="1:4" ht="13.5" customHeight="1">
      <c r="A1043" s="207" t="s">
        <v>1159</v>
      </c>
      <c r="B1043" s="201"/>
      <c r="C1043" s="199">
        <f t="shared" si="16"/>
        <v>0</v>
      </c>
      <c r="D1043" s="202"/>
    </row>
    <row r="1044" spans="1:4" ht="13.5" customHeight="1">
      <c r="A1044" s="207" t="s">
        <v>1160</v>
      </c>
      <c r="B1044" s="201"/>
      <c r="C1044" s="199">
        <f t="shared" si="16"/>
        <v>0</v>
      </c>
      <c r="D1044" s="202"/>
    </row>
    <row r="1045" spans="1:4" ht="13.5" customHeight="1">
      <c r="A1045" s="207" t="s">
        <v>1161</v>
      </c>
      <c r="B1045" s="201"/>
      <c r="C1045" s="199">
        <f t="shared" si="16"/>
        <v>0</v>
      </c>
      <c r="D1045" s="202"/>
    </row>
    <row r="1046" spans="1:4" ht="13.5" customHeight="1">
      <c r="A1046" s="207" t="s">
        <v>1162</v>
      </c>
      <c r="B1046" s="201"/>
      <c r="C1046" s="199">
        <f t="shared" si="16"/>
        <v>0</v>
      </c>
      <c r="D1046" s="202"/>
    </row>
    <row r="1047" spans="1:4" ht="13.5" customHeight="1">
      <c r="A1047" s="207" t="s">
        <v>1163</v>
      </c>
      <c r="B1047" s="201"/>
      <c r="C1047" s="199">
        <f t="shared" si="16"/>
        <v>0</v>
      </c>
      <c r="D1047" s="202"/>
    </row>
    <row r="1048" spans="1:4" ht="13.5" customHeight="1">
      <c r="A1048" s="207" t="s">
        <v>1164</v>
      </c>
      <c r="B1048" s="201"/>
      <c r="C1048" s="199">
        <f t="shared" si="16"/>
        <v>0</v>
      </c>
      <c r="D1048" s="202"/>
    </row>
    <row r="1049" spans="1:4" ht="13.5" customHeight="1">
      <c r="A1049" s="207" t="s">
        <v>1165</v>
      </c>
      <c r="B1049" s="201"/>
      <c r="C1049" s="199">
        <f t="shared" si="16"/>
        <v>0</v>
      </c>
      <c r="D1049" s="202"/>
    </row>
    <row r="1050" spans="1:4" ht="13.5" customHeight="1">
      <c r="A1050" s="215" t="s">
        <v>1166</v>
      </c>
      <c r="B1050" s="201">
        <f>SUM(B1051:B1054)</f>
        <v>0</v>
      </c>
      <c r="C1050" s="199">
        <f t="shared" si="16"/>
        <v>0</v>
      </c>
      <c r="D1050" s="202">
        <f>SUM(D1051:D1054)</f>
        <v>0</v>
      </c>
    </row>
    <row r="1051" spans="1:4" ht="13.5" customHeight="1">
      <c r="A1051" s="207" t="s">
        <v>952</v>
      </c>
      <c r="B1051" s="201"/>
      <c r="C1051" s="199">
        <f t="shared" si="16"/>
        <v>0</v>
      </c>
      <c r="D1051" s="202"/>
    </row>
    <row r="1052" spans="1:4" ht="13.5" customHeight="1">
      <c r="A1052" s="207" t="s">
        <v>953</v>
      </c>
      <c r="B1052" s="201"/>
      <c r="C1052" s="199">
        <f t="shared" si="16"/>
        <v>0</v>
      </c>
      <c r="D1052" s="202"/>
    </row>
    <row r="1053" spans="1:4" ht="13.5" customHeight="1">
      <c r="A1053" s="207" t="s">
        <v>954</v>
      </c>
      <c r="B1053" s="201"/>
      <c r="C1053" s="199">
        <f t="shared" si="16"/>
        <v>0</v>
      </c>
      <c r="D1053" s="202"/>
    </row>
    <row r="1054" spans="1:4" ht="13.5" customHeight="1">
      <c r="A1054" s="207" t="s">
        <v>1167</v>
      </c>
      <c r="B1054" s="201"/>
      <c r="C1054" s="199">
        <f t="shared" si="16"/>
        <v>0</v>
      </c>
      <c r="D1054" s="202"/>
    </row>
    <row r="1055" spans="1:4" ht="13.5" customHeight="1">
      <c r="A1055" s="215" t="s">
        <v>1168</v>
      </c>
      <c r="B1055" s="201">
        <f>SUM(B1056:B1068)</f>
        <v>20</v>
      </c>
      <c r="C1055" s="199">
        <f t="shared" si="16"/>
        <v>20</v>
      </c>
      <c r="D1055" s="202">
        <f>SUM(D1056:D1068)</f>
        <v>0</v>
      </c>
    </row>
    <row r="1056" spans="1:4" ht="13.5" customHeight="1">
      <c r="A1056" s="207" t="s">
        <v>952</v>
      </c>
      <c r="B1056" s="201"/>
      <c r="C1056" s="199">
        <f t="shared" si="16"/>
        <v>0</v>
      </c>
      <c r="D1056" s="202"/>
    </row>
    <row r="1057" spans="1:4" ht="13.5" customHeight="1">
      <c r="A1057" s="207" t="s">
        <v>953</v>
      </c>
      <c r="B1057" s="201"/>
      <c r="C1057" s="199">
        <f t="shared" si="16"/>
        <v>0</v>
      </c>
      <c r="D1057" s="202"/>
    </row>
    <row r="1058" spans="1:4" ht="13.5" customHeight="1">
      <c r="A1058" s="207" t="s">
        <v>954</v>
      </c>
      <c r="B1058" s="201"/>
      <c r="C1058" s="199">
        <f t="shared" si="16"/>
        <v>0</v>
      </c>
      <c r="D1058" s="202"/>
    </row>
    <row r="1059" spans="1:4" ht="13.5" customHeight="1">
      <c r="A1059" s="207" t="s">
        <v>1169</v>
      </c>
      <c r="B1059" s="201"/>
      <c r="C1059" s="199">
        <f t="shared" si="16"/>
        <v>0</v>
      </c>
      <c r="D1059" s="202"/>
    </row>
    <row r="1060" spans="1:4" ht="13.5" customHeight="1">
      <c r="A1060" s="207" t="s">
        <v>1170</v>
      </c>
      <c r="B1060" s="201"/>
      <c r="C1060" s="199">
        <f t="shared" si="16"/>
        <v>0</v>
      </c>
      <c r="D1060" s="202"/>
    </row>
    <row r="1061" spans="1:4" ht="13.5" customHeight="1">
      <c r="A1061" s="207" t="s">
        <v>1171</v>
      </c>
      <c r="B1061" s="201"/>
      <c r="C1061" s="199">
        <f t="shared" si="16"/>
        <v>0</v>
      </c>
      <c r="D1061" s="202"/>
    </row>
    <row r="1062" spans="1:4" ht="13.5" customHeight="1">
      <c r="A1062" s="207" t="s">
        <v>1172</v>
      </c>
      <c r="B1062" s="201">
        <v>20</v>
      </c>
      <c r="C1062" s="199">
        <f t="shared" si="16"/>
        <v>20</v>
      </c>
      <c r="D1062" s="202"/>
    </row>
    <row r="1063" spans="1:4" ht="13.5" customHeight="1">
      <c r="A1063" s="207" t="s">
        <v>1173</v>
      </c>
      <c r="B1063" s="201"/>
      <c r="C1063" s="199">
        <f t="shared" si="16"/>
        <v>0</v>
      </c>
      <c r="D1063" s="202"/>
    </row>
    <row r="1064" spans="1:4" ht="13.5" customHeight="1">
      <c r="A1064" s="207" t="s">
        <v>1174</v>
      </c>
      <c r="B1064" s="201"/>
      <c r="C1064" s="199">
        <f t="shared" si="16"/>
        <v>0</v>
      </c>
      <c r="D1064" s="202"/>
    </row>
    <row r="1065" spans="1:4" ht="13.5" customHeight="1">
      <c r="A1065" s="207" t="s">
        <v>1175</v>
      </c>
      <c r="B1065" s="201"/>
      <c r="C1065" s="199">
        <f t="shared" si="16"/>
        <v>0</v>
      </c>
      <c r="D1065" s="202"/>
    </row>
    <row r="1066" spans="1:4" ht="13.5" customHeight="1">
      <c r="A1066" s="207" t="s">
        <v>1120</v>
      </c>
      <c r="B1066" s="201"/>
      <c r="C1066" s="199">
        <f t="shared" si="16"/>
        <v>0</v>
      </c>
      <c r="D1066" s="202"/>
    </row>
    <row r="1067" spans="1:4" ht="13.5" customHeight="1">
      <c r="A1067" s="207" t="s">
        <v>1176</v>
      </c>
      <c r="B1067" s="201"/>
      <c r="C1067" s="199">
        <f t="shared" si="16"/>
        <v>0</v>
      </c>
      <c r="D1067" s="202"/>
    </row>
    <row r="1068" spans="1:4" ht="13.5" customHeight="1">
      <c r="A1068" s="207" t="s">
        <v>1177</v>
      </c>
      <c r="B1068" s="201"/>
      <c r="C1068" s="199">
        <f t="shared" si="16"/>
        <v>0</v>
      </c>
      <c r="D1068" s="202"/>
    </row>
    <row r="1069" spans="1:4" ht="13.5" customHeight="1">
      <c r="A1069" s="215" t="s">
        <v>1178</v>
      </c>
      <c r="B1069" s="201">
        <f>SUM(B1070:B1076)</f>
        <v>736</v>
      </c>
      <c r="C1069" s="199">
        <f t="shared" si="16"/>
        <v>646</v>
      </c>
      <c r="D1069" s="202">
        <f>SUM(D1070:D1076)</f>
        <v>90</v>
      </c>
    </row>
    <row r="1070" spans="1:4" ht="13.5" customHeight="1">
      <c r="A1070" s="207" t="s">
        <v>952</v>
      </c>
      <c r="B1070" s="201">
        <v>426</v>
      </c>
      <c r="C1070" s="199">
        <f t="shared" si="16"/>
        <v>426</v>
      </c>
      <c r="D1070" s="202"/>
    </row>
    <row r="1071" spans="1:4" ht="13.5" customHeight="1">
      <c r="A1071" s="207" t="s">
        <v>953</v>
      </c>
      <c r="B1071" s="201"/>
      <c r="C1071" s="199">
        <f t="shared" si="16"/>
        <v>0</v>
      </c>
      <c r="D1071" s="202"/>
    </row>
    <row r="1072" spans="1:4" ht="13.5" customHeight="1">
      <c r="A1072" s="207" t="s">
        <v>954</v>
      </c>
      <c r="B1072" s="201"/>
      <c r="C1072" s="199">
        <f t="shared" si="16"/>
        <v>0</v>
      </c>
      <c r="D1072" s="202"/>
    </row>
    <row r="1073" spans="1:4" ht="13.5" customHeight="1">
      <c r="A1073" s="207" t="s">
        <v>1179</v>
      </c>
      <c r="B1073" s="201">
        <f>393-120-120-20</f>
        <v>133</v>
      </c>
      <c r="C1073" s="199">
        <f t="shared" si="16"/>
        <v>100</v>
      </c>
      <c r="D1073" s="202">
        <v>33</v>
      </c>
    </row>
    <row r="1074" spans="1:4" ht="13.5" customHeight="1">
      <c r="A1074" s="207" t="s">
        <v>1180</v>
      </c>
      <c r="B1074" s="201">
        <f>100+57+20</f>
        <v>177</v>
      </c>
      <c r="C1074" s="199">
        <f t="shared" si="16"/>
        <v>120</v>
      </c>
      <c r="D1074" s="202">
        <v>57</v>
      </c>
    </row>
    <row r="1075" spans="1:4" ht="13.5" customHeight="1">
      <c r="A1075" s="207" t="s">
        <v>1181</v>
      </c>
      <c r="B1075" s="201"/>
      <c r="C1075" s="199">
        <f t="shared" si="16"/>
        <v>0</v>
      </c>
      <c r="D1075" s="202"/>
    </row>
    <row r="1076" spans="1:4" ht="13.5" customHeight="1">
      <c r="A1076" s="207" t="s">
        <v>1182</v>
      </c>
      <c r="B1076" s="201"/>
      <c r="C1076" s="199">
        <f t="shared" si="16"/>
        <v>0</v>
      </c>
      <c r="D1076" s="202"/>
    </row>
    <row r="1077" spans="1:4" ht="13.5" customHeight="1">
      <c r="A1077" s="215" t="s">
        <v>1183</v>
      </c>
      <c r="B1077" s="201">
        <f>SUM(B1078:B1082)</f>
        <v>748</v>
      </c>
      <c r="C1077" s="199">
        <f t="shared" si="16"/>
        <v>580</v>
      </c>
      <c r="D1077" s="202">
        <f>SUM(D1078:D1082)</f>
        <v>168</v>
      </c>
    </row>
    <row r="1078" spans="1:4" ht="13.5" customHeight="1">
      <c r="A1078" s="207" t="s">
        <v>952</v>
      </c>
      <c r="B1078" s="201">
        <f>661-120</f>
        <v>541</v>
      </c>
      <c r="C1078" s="199">
        <f t="shared" si="16"/>
        <v>430</v>
      </c>
      <c r="D1078" s="202">
        <v>111</v>
      </c>
    </row>
    <row r="1079" spans="1:4" ht="13.5" customHeight="1">
      <c r="A1079" s="207" t="s">
        <v>953</v>
      </c>
      <c r="B1079" s="201"/>
      <c r="C1079" s="199">
        <f t="shared" si="16"/>
        <v>0</v>
      </c>
      <c r="D1079" s="202"/>
    </row>
    <row r="1080" spans="1:4" ht="13.5" customHeight="1">
      <c r="A1080" s="207" t="s">
        <v>954</v>
      </c>
      <c r="B1080" s="201"/>
      <c r="C1080" s="199">
        <f t="shared" si="16"/>
        <v>0</v>
      </c>
      <c r="D1080" s="202"/>
    </row>
    <row r="1081" spans="1:4" ht="13.5" customHeight="1">
      <c r="A1081" s="207" t="s">
        <v>1184</v>
      </c>
      <c r="B1081" s="201"/>
      <c r="C1081" s="199">
        <f t="shared" si="16"/>
        <v>0</v>
      </c>
      <c r="D1081" s="202"/>
    </row>
    <row r="1082" spans="1:4" ht="13.5" customHeight="1">
      <c r="A1082" s="207" t="s">
        <v>1185</v>
      </c>
      <c r="B1082" s="201">
        <f>307-100</f>
        <v>207</v>
      </c>
      <c r="C1082" s="199">
        <f t="shared" si="16"/>
        <v>150</v>
      </c>
      <c r="D1082" s="202">
        <v>57</v>
      </c>
    </row>
    <row r="1083" spans="1:4" ht="13.5" customHeight="1">
      <c r="A1083" s="215" t="s">
        <v>1186</v>
      </c>
      <c r="B1083" s="201">
        <f>SUM(B1084:B1089)</f>
        <v>1750</v>
      </c>
      <c r="C1083" s="199">
        <f t="shared" si="16"/>
        <v>1305</v>
      </c>
      <c r="D1083" s="202">
        <f>SUM(D1084:D1089)</f>
        <v>445</v>
      </c>
    </row>
    <row r="1084" spans="1:4" ht="13.5" customHeight="1">
      <c r="A1084" s="207" t="s">
        <v>952</v>
      </c>
      <c r="B1084" s="201"/>
      <c r="C1084" s="199">
        <f t="shared" si="16"/>
        <v>0</v>
      </c>
      <c r="D1084" s="202"/>
    </row>
    <row r="1085" spans="1:4" ht="13.5" customHeight="1">
      <c r="A1085" s="207" t="s">
        <v>953</v>
      </c>
      <c r="B1085" s="201"/>
      <c r="C1085" s="199">
        <f t="shared" si="16"/>
        <v>0</v>
      </c>
      <c r="D1085" s="202"/>
    </row>
    <row r="1086" spans="1:4" ht="13.5" customHeight="1">
      <c r="A1086" s="207" t="s">
        <v>954</v>
      </c>
      <c r="B1086" s="201"/>
      <c r="C1086" s="199">
        <f t="shared" si="16"/>
        <v>0</v>
      </c>
      <c r="D1086" s="202"/>
    </row>
    <row r="1087" spans="1:4" ht="13.5" customHeight="1">
      <c r="A1087" s="207" t="s">
        <v>1187</v>
      </c>
      <c r="B1087" s="201"/>
      <c r="C1087" s="199">
        <f t="shared" si="16"/>
        <v>0</v>
      </c>
      <c r="D1087" s="202"/>
    </row>
    <row r="1088" spans="1:4" ht="13.5" customHeight="1">
      <c r="A1088" s="207" t="s">
        <v>1188</v>
      </c>
      <c r="B1088" s="201">
        <v>1550</v>
      </c>
      <c r="C1088" s="199">
        <f t="shared" si="16"/>
        <v>1174</v>
      </c>
      <c r="D1088" s="202">
        <v>376</v>
      </c>
    </row>
    <row r="1089" spans="1:4" ht="13.5" customHeight="1">
      <c r="A1089" s="207" t="s">
        <v>1189</v>
      </c>
      <c r="B1089" s="201">
        <v>200</v>
      </c>
      <c r="C1089" s="199">
        <f t="shared" si="16"/>
        <v>131</v>
      </c>
      <c r="D1089" s="202">
        <v>69</v>
      </c>
    </row>
    <row r="1090" spans="1:4" ht="13.5" customHeight="1">
      <c r="A1090" s="215" t="s">
        <v>1190</v>
      </c>
      <c r="B1090" s="201">
        <f>SUM(B1091:B1096)</f>
        <v>0</v>
      </c>
      <c r="C1090" s="199">
        <f t="shared" si="16"/>
        <v>0</v>
      </c>
      <c r="D1090" s="202">
        <f>SUM(D1091:D1096)</f>
        <v>0</v>
      </c>
    </row>
    <row r="1091" spans="1:4" ht="13.5" customHeight="1">
      <c r="A1091" s="207" t="s">
        <v>1191</v>
      </c>
      <c r="B1091" s="201"/>
      <c r="C1091" s="199">
        <f t="shared" si="16"/>
        <v>0</v>
      </c>
      <c r="D1091" s="202"/>
    </row>
    <row r="1092" spans="1:4" ht="13.5" customHeight="1">
      <c r="A1092" s="207" t="s">
        <v>1192</v>
      </c>
      <c r="B1092" s="201"/>
      <c r="C1092" s="199">
        <f t="shared" si="16"/>
        <v>0</v>
      </c>
      <c r="D1092" s="202"/>
    </row>
    <row r="1093" spans="1:4" ht="13.5" customHeight="1">
      <c r="A1093" s="207" t="s">
        <v>1193</v>
      </c>
      <c r="B1093" s="201"/>
      <c r="C1093" s="199">
        <f t="shared" si="16"/>
        <v>0</v>
      </c>
      <c r="D1093" s="202"/>
    </row>
    <row r="1094" spans="1:4" ht="13.5" customHeight="1">
      <c r="A1094" s="207" t="s">
        <v>1194</v>
      </c>
      <c r="B1094" s="201"/>
      <c r="C1094" s="199">
        <f t="shared" si="16"/>
        <v>0</v>
      </c>
      <c r="D1094" s="202"/>
    </row>
    <row r="1095" spans="1:4" ht="13.5" customHeight="1">
      <c r="A1095" s="207" t="s">
        <v>1195</v>
      </c>
      <c r="B1095" s="201"/>
      <c r="C1095" s="199">
        <f aca="true" t="shared" si="17" ref="C1095:C1158">B1095-D1095</f>
        <v>0</v>
      </c>
      <c r="D1095" s="202"/>
    </row>
    <row r="1096" spans="1:4" ht="13.5" customHeight="1">
      <c r="A1096" s="207" t="s">
        <v>1196</v>
      </c>
      <c r="B1096" s="201"/>
      <c r="C1096" s="199">
        <f t="shared" si="17"/>
        <v>0</v>
      </c>
      <c r="D1096" s="202"/>
    </row>
    <row r="1097" spans="1:4" ht="13.5" customHeight="1">
      <c r="A1097" s="215" t="s">
        <v>1197</v>
      </c>
      <c r="B1097" s="201">
        <f>SUM(B1098,B1108,B1115,B1121)</f>
        <v>1341</v>
      </c>
      <c r="C1097" s="199">
        <f t="shared" si="17"/>
        <v>1034</v>
      </c>
      <c r="D1097" s="202">
        <f>SUM(D1098,D1108,D1115,D1121)</f>
        <v>307</v>
      </c>
    </row>
    <row r="1098" spans="1:4" ht="13.5" customHeight="1">
      <c r="A1098" s="215" t="s">
        <v>1198</v>
      </c>
      <c r="B1098" s="201">
        <f>SUM(B1099:B1107)</f>
        <v>450</v>
      </c>
      <c r="C1098" s="199">
        <f t="shared" si="17"/>
        <v>311</v>
      </c>
      <c r="D1098" s="202">
        <f>SUM(D1099:D1107)</f>
        <v>139</v>
      </c>
    </row>
    <row r="1099" spans="1:4" ht="13.5" customHeight="1">
      <c r="A1099" s="207" t="s">
        <v>952</v>
      </c>
      <c r="B1099" s="201">
        <f>138+362-80</f>
        <v>420</v>
      </c>
      <c r="C1099" s="199">
        <f t="shared" si="17"/>
        <v>281</v>
      </c>
      <c r="D1099" s="202">
        <v>139</v>
      </c>
    </row>
    <row r="1100" spans="1:4" ht="13.5" customHeight="1">
      <c r="A1100" s="207" t="s">
        <v>953</v>
      </c>
      <c r="B1100" s="201">
        <v>30</v>
      </c>
      <c r="C1100" s="199">
        <f t="shared" si="17"/>
        <v>30</v>
      </c>
      <c r="D1100" s="202"/>
    </row>
    <row r="1101" spans="1:4" ht="13.5" customHeight="1">
      <c r="A1101" s="207" t="s">
        <v>954</v>
      </c>
      <c r="B1101" s="201"/>
      <c r="C1101" s="199">
        <f t="shared" si="17"/>
        <v>0</v>
      </c>
      <c r="D1101" s="202"/>
    </row>
    <row r="1102" spans="1:4" ht="13.5" customHeight="1">
      <c r="A1102" s="207" t="s">
        <v>1199</v>
      </c>
      <c r="B1102" s="201"/>
      <c r="C1102" s="199">
        <f t="shared" si="17"/>
        <v>0</v>
      </c>
      <c r="D1102" s="202"/>
    </row>
    <row r="1103" spans="1:4" ht="13.5" customHeight="1">
      <c r="A1103" s="207" t="s">
        <v>1200</v>
      </c>
      <c r="B1103" s="201"/>
      <c r="C1103" s="199">
        <f t="shared" si="17"/>
        <v>0</v>
      </c>
      <c r="D1103" s="202"/>
    </row>
    <row r="1104" spans="1:4" ht="13.5" customHeight="1">
      <c r="A1104" s="207" t="s">
        <v>1201</v>
      </c>
      <c r="B1104" s="201"/>
      <c r="C1104" s="199">
        <f t="shared" si="17"/>
        <v>0</v>
      </c>
      <c r="D1104" s="202"/>
    </row>
    <row r="1105" spans="1:4" ht="13.5" customHeight="1">
      <c r="A1105" s="207" t="s">
        <v>1202</v>
      </c>
      <c r="B1105" s="201"/>
      <c r="C1105" s="199">
        <f t="shared" si="17"/>
        <v>0</v>
      </c>
      <c r="D1105" s="202"/>
    </row>
    <row r="1106" spans="1:4" ht="13.5" customHeight="1">
      <c r="A1106" s="207" t="s">
        <v>972</v>
      </c>
      <c r="B1106" s="201"/>
      <c r="C1106" s="199">
        <f t="shared" si="17"/>
        <v>0</v>
      </c>
      <c r="D1106" s="202"/>
    </row>
    <row r="1107" spans="1:4" ht="13.5" customHeight="1">
      <c r="A1107" s="207" t="s">
        <v>1203</v>
      </c>
      <c r="B1107" s="201"/>
      <c r="C1107" s="199">
        <f t="shared" si="17"/>
        <v>0</v>
      </c>
      <c r="D1107" s="202"/>
    </row>
    <row r="1108" spans="1:4" ht="13.5" customHeight="1">
      <c r="A1108" s="215" t="s">
        <v>1204</v>
      </c>
      <c r="B1108" s="201">
        <f>SUM(B1109:B1114)</f>
        <v>564</v>
      </c>
      <c r="C1108" s="199">
        <f t="shared" si="17"/>
        <v>549</v>
      </c>
      <c r="D1108" s="202">
        <f>SUM(D1109:D1114)</f>
        <v>15</v>
      </c>
    </row>
    <row r="1109" spans="1:4" ht="13.5" customHeight="1">
      <c r="A1109" s="207" t="s">
        <v>952</v>
      </c>
      <c r="B1109" s="201">
        <f>341-120+87-50</f>
        <v>258</v>
      </c>
      <c r="C1109" s="199">
        <f t="shared" si="17"/>
        <v>258</v>
      </c>
      <c r="D1109" s="202"/>
    </row>
    <row r="1110" spans="1:4" ht="13.5" customHeight="1">
      <c r="A1110" s="207" t="s">
        <v>953</v>
      </c>
      <c r="B1110" s="201"/>
      <c r="C1110" s="199">
        <f t="shared" si="17"/>
        <v>0</v>
      </c>
      <c r="D1110" s="202"/>
    </row>
    <row r="1111" spans="1:4" ht="13.5" customHeight="1">
      <c r="A1111" s="207" t="s">
        <v>954</v>
      </c>
      <c r="B1111" s="201"/>
      <c r="C1111" s="199">
        <f t="shared" si="17"/>
        <v>0</v>
      </c>
      <c r="D1111" s="202"/>
    </row>
    <row r="1112" spans="1:4" ht="13.5" customHeight="1">
      <c r="A1112" s="207" t="s">
        <v>1205</v>
      </c>
      <c r="B1112" s="201">
        <v>6</v>
      </c>
      <c r="C1112" s="199">
        <f t="shared" si="17"/>
        <v>6</v>
      </c>
      <c r="D1112" s="202"/>
    </row>
    <row r="1113" spans="1:4" ht="13.5" customHeight="1">
      <c r="A1113" s="207" t="s">
        <v>1206</v>
      </c>
      <c r="B1113" s="201"/>
      <c r="C1113" s="199">
        <f t="shared" si="17"/>
        <v>0</v>
      </c>
      <c r="D1113" s="202"/>
    </row>
    <row r="1114" spans="1:4" ht="13.5" customHeight="1">
      <c r="A1114" s="207" t="s">
        <v>1207</v>
      </c>
      <c r="B1114" s="201">
        <v>300</v>
      </c>
      <c r="C1114" s="199">
        <f t="shared" si="17"/>
        <v>285</v>
      </c>
      <c r="D1114" s="202">
        <f>8+7</f>
        <v>15</v>
      </c>
    </row>
    <row r="1115" spans="1:4" ht="13.5" customHeight="1">
      <c r="A1115" s="215" t="s">
        <v>1208</v>
      </c>
      <c r="B1115" s="201">
        <f>SUM(B1116:B1120)</f>
        <v>327</v>
      </c>
      <c r="C1115" s="199">
        <f t="shared" si="17"/>
        <v>174</v>
      </c>
      <c r="D1115" s="202">
        <f>SUM(D1116:D1120)</f>
        <v>153</v>
      </c>
    </row>
    <row r="1116" spans="1:4" ht="13.5" customHeight="1">
      <c r="A1116" s="207" t="s">
        <v>952</v>
      </c>
      <c r="B1116" s="201">
        <v>19</v>
      </c>
      <c r="C1116" s="199">
        <f t="shared" si="17"/>
        <v>19</v>
      </c>
      <c r="D1116" s="202"/>
    </row>
    <row r="1117" spans="1:4" ht="13.5" customHeight="1">
      <c r="A1117" s="207" t="s">
        <v>953</v>
      </c>
      <c r="B1117" s="201">
        <v>248</v>
      </c>
      <c r="C1117" s="199">
        <f t="shared" si="17"/>
        <v>155</v>
      </c>
      <c r="D1117" s="202">
        <v>93</v>
      </c>
    </row>
    <row r="1118" spans="1:4" ht="13.5" customHeight="1">
      <c r="A1118" s="207" t="s">
        <v>954</v>
      </c>
      <c r="B1118" s="201"/>
      <c r="C1118" s="199">
        <f t="shared" si="17"/>
        <v>0</v>
      </c>
      <c r="D1118" s="202"/>
    </row>
    <row r="1119" spans="1:4" ht="13.5" customHeight="1">
      <c r="A1119" s="207" t="s">
        <v>1209</v>
      </c>
      <c r="B1119" s="201"/>
      <c r="C1119" s="199">
        <f t="shared" si="17"/>
        <v>0</v>
      </c>
      <c r="D1119" s="202"/>
    </row>
    <row r="1120" spans="1:4" ht="13.5" customHeight="1">
      <c r="A1120" s="207" t="s">
        <v>1210</v>
      </c>
      <c r="B1120" s="201">
        <v>60</v>
      </c>
      <c r="C1120" s="199">
        <f t="shared" si="17"/>
        <v>0</v>
      </c>
      <c r="D1120" s="202">
        <v>60</v>
      </c>
    </row>
    <row r="1121" spans="1:4" ht="13.5" customHeight="1">
      <c r="A1121" s="215" t="s">
        <v>1211</v>
      </c>
      <c r="B1121" s="201">
        <f>SUM(B1122:B1123)</f>
        <v>0</v>
      </c>
      <c r="C1121" s="199">
        <f t="shared" si="17"/>
        <v>0</v>
      </c>
      <c r="D1121" s="202">
        <f>SUM(D1122:D1123)</f>
        <v>0</v>
      </c>
    </row>
    <row r="1122" spans="1:4" ht="13.5" customHeight="1">
      <c r="A1122" s="207" t="s">
        <v>1212</v>
      </c>
      <c r="B1122" s="201"/>
      <c r="C1122" s="199">
        <f t="shared" si="17"/>
        <v>0</v>
      </c>
      <c r="D1122" s="202"/>
    </row>
    <row r="1123" spans="1:4" ht="13.5" customHeight="1">
      <c r="A1123" s="207" t="s">
        <v>1213</v>
      </c>
      <c r="B1123" s="201"/>
      <c r="C1123" s="199">
        <f t="shared" si="17"/>
        <v>0</v>
      </c>
      <c r="D1123" s="202"/>
    </row>
    <row r="1124" spans="1:4" ht="13.5" customHeight="1">
      <c r="A1124" s="215" t="s">
        <v>1214</v>
      </c>
      <c r="B1124" s="201">
        <f>SUM(B1125,B1132,B1138)</f>
        <v>0</v>
      </c>
      <c r="C1124" s="199">
        <f t="shared" si="17"/>
        <v>0</v>
      </c>
      <c r="D1124" s="202">
        <f>SUM(D1125,D1132,D1138)</f>
        <v>0</v>
      </c>
    </row>
    <row r="1125" spans="1:4" ht="13.5" customHeight="1">
      <c r="A1125" s="215" t="s">
        <v>1215</v>
      </c>
      <c r="B1125" s="201">
        <f>SUM(B1126:B1131)</f>
        <v>0</v>
      </c>
      <c r="C1125" s="199">
        <f t="shared" si="17"/>
        <v>0</v>
      </c>
      <c r="D1125" s="202">
        <f>SUM(D1126:D1131)</f>
        <v>0</v>
      </c>
    </row>
    <row r="1126" spans="1:4" ht="13.5" customHeight="1">
      <c r="A1126" s="207" t="s">
        <v>952</v>
      </c>
      <c r="B1126" s="201"/>
      <c r="C1126" s="199">
        <f t="shared" si="17"/>
        <v>0</v>
      </c>
      <c r="D1126" s="202"/>
    </row>
    <row r="1127" spans="1:4" ht="13.5" customHeight="1">
      <c r="A1127" s="207" t="s">
        <v>953</v>
      </c>
      <c r="B1127" s="201"/>
      <c r="C1127" s="199">
        <f t="shared" si="17"/>
        <v>0</v>
      </c>
      <c r="D1127" s="202"/>
    </row>
    <row r="1128" spans="1:4" ht="13.5" customHeight="1">
      <c r="A1128" s="207" t="s">
        <v>954</v>
      </c>
      <c r="B1128" s="201"/>
      <c r="C1128" s="199">
        <f t="shared" si="17"/>
        <v>0</v>
      </c>
      <c r="D1128" s="202"/>
    </row>
    <row r="1129" spans="1:4" ht="13.5" customHeight="1">
      <c r="A1129" s="207" t="s">
        <v>1216</v>
      </c>
      <c r="B1129" s="201"/>
      <c r="C1129" s="199">
        <f t="shared" si="17"/>
        <v>0</v>
      </c>
      <c r="D1129" s="202"/>
    </row>
    <row r="1130" spans="1:4" ht="13.5" customHeight="1">
      <c r="A1130" s="207" t="s">
        <v>972</v>
      </c>
      <c r="B1130" s="201"/>
      <c r="C1130" s="199">
        <f t="shared" si="17"/>
        <v>0</v>
      </c>
      <c r="D1130" s="202"/>
    </row>
    <row r="1131" spans="1:4" ht="13.5" customHeight="1">
      <c r="A1131" s="207" t="s">
        <v>1217</v>
      </c>
      <c r="B1131" s="201"/>
      <c r="C1131" s="199">
        <f t="shared" si="17"/>
        <v>0</v>
      </c>
      <c r="D1131" s="202"/>
    </row>
    <row r="1132" spans="1:4" ht="13.5" customHeight="1">
      <c r="A1132" s="215" t="s">
        <v>1218</v>
      </c>
      <c r="B1132" s="201">
        <f>SUM(B1133:B1137)</f>
        <v>0</v>
      </c>
      <c r="C1132" s="199">
        <f t="shared" si="17"/>
        <v>0</v>
      </c>
      <c r="D1132" s="202">
        <f>SUM(D1133:D1137)</f>
        <v>0</v>
      </c>
    </row>
    <row r="1133" spans="1:4" ht="13.5" customHeight="1">
      <c r="A1133" s="207" t="s">
        <v>1219</v>
      </c>
      <c r="B1133" s="201"/>
      <c r="C1133" s="199">
        <f t="shared" si="17"/>
        <v>0</v>
      </c>
      <c r="D1133" s="202"/>
    </row>
    <row r="1134" spans="1:4" ht="13.5" customHeight="1">
      <c r="A1134" s="207" t="s">
        <v>1220</v>
      </c>
      <c r="B1134" s="201"/>
      <c r="C1134" s="199">
        <f t="shared" si="17"/>
        <v>0</v>
      </c>
      <c r="D1134" s="202"/>
    </row>
    <row r="1135" spans="1:4" ht="13.5" customHeight="1">
      <c r="A1135" s="207" t="s">
        <v>1221</v>
      </c>
      <c r="B1135" s="201"/>
      <c r="C1135" s="199">
        <f t="shared" si="17"/>
        <v>0</v>
      </c>
      <c r="D1135" s="202"/>
    </row>
    <row r="1136" spans="1:4" ht="13.5" customHeight="1">
      <c r="A1136" s="207" t="s">
        <v>1222</v>
      </c>
      <c r="B1136" s="201"/>
      <c r="C1136" s="199">
        <f t="shared" si="17"/>
        <v>0</v>
      </c>
      <c r="D1136" s="202"/>
    </row>
    <row r="1137" spans="1:4" ht="13.5" customHeight="1">
      <c r="A1137" s="207" t="s">
        <v>1223</v>
      </c>
      <c r="B1137" s="201"/>
      <c r="C1137" s="199">
        <f t="shared" si="17"/>
        <v>0</v>
      </c>
      <c r="D1137" s="202"/>
    </row>
    <row r="1138" spans="1:4" ht="13.5" customHeight="1">
      <c r="A1138" s="215" t="s">
        <v>1224</v>
      </c>
      <c r="B1138" s="201"/>
      <c r="C1138" s="199">
        <f t="shared" si="17"/>
        <v>0</v>
      </c>
      <c r="D1138" s="202"/>
    </row>
    <row r="1139" spans="1:4" ht="13.5" customHeight="1">
      <c r="A1139" s="215" t="s">
        <v>1225</v>
      </c>
      <c r="B1139" s="201">
        <f>SUM(B1140:B1148)</f>
        <v>0</v>
      </c>
      <c r="C1139" s="199">
        <f t="shared" si="17"/>
        <v>0</v>
      </c>
      <c r="D1139" s="202">
        <f>SUM(D1140:D1148)</f>
        <v>0</v>
      </c>
    </row>
    <row r="1140" spans="1:4" ht="13.5" customHeight="1">
      <c r="A1140" s="207" t="s">
        <v>1226</v>
      </c>
      <c r="B1140" s="201"/>
      <c r="C1140" s="199">
        <f t="shared" si="17"/>
        <v>0</v>
      </c>
      <c r="D1140" s="202"/>
    </row>
    <row r="1141" spans="1:4" ht="13.5" customHeight="1">
      <c r="A1141" s="207" t="s">
        <v>1227</v>
      </c>
      <c r="B1141" s="201"/>
      <c r="C1141" s="199">
        <f t="shared" si="17"/>
        <v>0</v>
      </c>
      <c r="D1141" s="202"/>
    </row>
    <row r="1142" spans="1:4" ht="13.5" customHeight="1">
      <c r="A1142" s="207" t="s">
        <v>1228</v>
      </c>
      <c r="B1142" s="201"/>
      <c r="C1142" s="199">
        <f t="shared" si="17"/>
        <v>0</v>
      </c>
      <c r="D1142" s="202"/>
    </row>
    <row r="1143" spans="1:4" ht="13.5" customHeight="1">
      <c r="A1143" s="207" t="s">
        <v>1229</v>
      </c>
      <c r="B1143" s="201"/>
      <c r="C1143" s="199">
        <f t="shared" si="17"/>
        <v>0</v>
      </c>
      <c r="D1143" s="202"/>
    </row>
    <row r="1144" spans="1:4" ht="13.5" customHeight="1">
      <c r="A1144" s="207" t="s">
        <v>1230</v>
      </c>
      <c r="B1144" s="201"/>
      <c r="C1144" s="199">
        <f t="shared" si="17"/>
        <v>0</v>
      </c>
      <c r="D1144" s="202"/>
    </row>
    <row r="1145" spans="1:4" ht="13.5" customHeight="1">
      <c r="A1145" s="207" t="s">
        <v>971</v>
      </c>
      <c r="B1145" s="201"/>
      <c r="C1145" s="199">
        <f t="shared" si="17"/>
        <v>0</v>
      </c>
      <c r="D1145" s="202"/>
    </row>
    <row r="1146" spans="1:4" ht="13.5" customHeight="1">
      <c r="A1146" s="207" t="s">
        <v>1231</v>
      </c>
      <c r="B1146" s="201"/>
      <c r="C1146" s="199">
        <f t="shared" si="17"/>
        <v>0</v>
      </c>
      <c r="D1146" s="202"/>
    </row>
    <row r="1147" spans="1:4" ht="13.5" customHeight="1">
      <c r="A1147" s="207" t="s">
        <v>1232</v>
      </c>
      <c r="B1147" s="201"/>
      <c r="C1147" s="199">
        <f t="shared" si="17"/>
        <v>0</v>
      </c>
      <c r="D1147" s="202"/>
    </row>
    <row r="1148" spans="1:4" ht="13.5" customHeight="1">
      <c r="A1148" s="207" t="s">
        <v>1233</v>
      </c>
      <c r="B1148" s="201"/>
      <c r="C1148" s="199">
        <f t="shared" si="17"/>
        <v>0</v>
      </c>
      <c r="D1148" s="202"/>
    </row>
    <row r="1149" spans="1:4" ht="13.5" customHeight="1">
      <c r="A1149" s="215" t="s">
        <v>1234</v>
      </c>
      <c r="B1149" s="201">
        <f>SUM(B1150,B1171,B1192,B1201,B1214,B1229)</f>
        <v>1876</v>
      </c>
      <c r="C1149" s="199">
        <f t="shared" si="17"/>
        <v>1743</v>
      </c>
      <c r="D1149" s="202">
        <f>SUM(D1150,D1171,D1192,D1201,D1214,D1229)</f>
        <v>133</v>
      </c>
    </row>
    <row r="1150" spans="1:4" ht="13.5" customHeight="1">
      <c r="A1150" s="215" t="s">
        <v>1235</v>
      </c>
      <c r="B1150" s="201">
        <f>SUM(B1151:B1170)</f>
        <v>1700</v>
      </c>
      <c r="C1150" s="199">
        <f t="shared" si="17"/>
        <v>1567</v>
      </c>
      <c r="D1150" s="202">
        <f>SUM(D1151:D1170)</f>
        <v>133</v>
      </c>
    </row>
    <row r="1151" spans="1:4" ht="13.5" customHeight="1">
      <c r="A1151" s="207" t="s">
        <v>952</v>
      </c>
      <c r="B1151" s="201">
        <f>977-152</f>
        <v>825</v>
      </c>
      <c r="C1151" s="199">
        <f t="shared" si="17"/>
        <v>825</v>
      </c>
      <c r="D1151" s="202"/>
    </row>
    <row r="1152" spans="1:4" ht="13.5" customHeight="1">
      <c r="A1152" s="207" t="s">
        <v>953</v>
      </c>
      <c r="B1152" s="201"/>
      <c r="C1152" s="199">
        <f t="shared" si="17"/>
        <v>0</v>
      </c>
      <c r="D1152" s="202"/>
    </row>
    <row r="1153" spans="1:4" ht="13.5" customHeight="1">
      <c r="A1153" s="207" t="s">
        <v>954</v>
      </c>
      <c r="B1153" s="201"/>
      <c r="C1153" s="199">
        <f t="shared" si="17"/>
        <v>0</v>
      </c>
      <c r="D1153" s="202"/>
    </row>
    <row r="1154" spans="1:4" ht="13.5" customHeight="1">
      <c r="A1154" s="207" t="s">
        <v>1236</v>
      </c>
      <c r="B1154" s="201"/>
      <c r="C1154" s="199">
        <f t="shared" si="17"/>
        <v>0</v>
      </c>
      <c r="D1154" s="202"/>
    </row>
    <row r="1155" spans="1:4" ht="13.5" customHeight="1">
      <c r="A1155" s="207" t="s">
        <v>1237</v>
      </c>
      <c r="B1155" s="201"/>
      <c r="C1155" s="199">
        <f t="shared" si="17"/>
        <v>0</v>
      </c>
      <c r="D1155" s="202"/>
    </row>
    <row r="1156" spans="1:4" ht="13.5" customHeight="1">
      <c r="A1156" s="207" t="s">
        <v>1238</v>
      </c>
      <c r="B1156" s="201"/>
      <c r="C1156" s="199">
        <f t="shared" si="17"/>
        <v>0</v>
      </c>
      <c r="D1156" s="202"/>
    </row>
    <row r="1157" spans="1:4" ht="13.5" customHeight="1">
      <c r="A1157" s="207" t="s">
        <v>1239</v>
      </c>
      <c r="B1157" s="201"/>
      <c r="C1157" s="199">
        <f t="shared" si="17"/>
        <v>0</v>
      </c>
      <c r="D1157" s="202"/>
    </row>
    <row r="1158" spans="1:4" ht="13.5" customHeight="1">
      <c r="A1158" s="207" t="s">
        <v>1240</v>
      </c>
      <c r="B1158" s="201"/>
      <c r="C1158" s="199">
        <f t="shared" si="17"/>
        <v>0</v>
      </c>
      <c r="D1158" s="202"/>
    </row>
    <row r="1159" spans="1:4" ht="13.5" customHeight="1">
      <c r="A1159" s="207" t="s">
        <v>1241</v>
      </c>
      <c r="B1159" s="201"/>
      <c r="C1159" s="199">
        <f aca="true" t="shared" si="18" ref="C1159:C1222">B1159-D1159</f>
        <v>0</v>
      </c>
      <c r="D1159" s="202"/>
    </row>
    <row r="1160" spans="1:4" ht="13.5" customHeight="1">
      <c r="A1160" s="207" t="s">
        <v>1242</v>
      </c>
      <c r="B1160" s="201">
        <f>1960-1400</f>
        <v>560</v>
      </c>
      <c r="C1160" s="199">
        <f t="shared" si="18"/>
        <v>540</v>
      </c>
      <c r="D1160" s="202">
        <v>20</v>
      </c>
    </row>
    <row r="1161" spans="1:4" ht="13.5" customHeight="1">
      <c r="A1161" s="207" t="s">
        <v>1243</v>
      </c>
      <c r="B1161" s="201">
        <v>94</v>
      </c>
      <c r="C1161" s="199">
        <f t="shared" si="18"/>
        <v>0</v>
      </c>
      <c r="D1161" s="202">
        <v>94</v>
      </c>
    </row>
    <row r="1162" spans="1:4" ht="13.5" customHeight="1">
      <c r="A1162" s="207" t="s">
        <v>1244</v>
      </c>
      <c r="B1162" s="201"/>
      <c r="C1162" s="199">
        <f t="shared" si="18"/>
        <v>0</v>
      </c>
      <c r="D1162" s="202"/>
    </row>
    <row r="1163" spans="1:4" ht="13.5" customHeight="1">
      <c r="A1163" s="207" t="s">
        <v>1245</v>
      </c>
      <c r="B1163" s="201"/>
      <c r="C1163" s="199">
        <f t="shared" si="18"/>
        <v>0</v>
      </c>
      <c r="D1163" s="202"/>
    </row>
    <row r="1164" spans="1:4" ht="13.5" customHeight="1">
      <c r="A1164" s="207" t="s">
        <v>1246</v>
      </c>
      <c r="B1164" s="201"/>
      <c r="C1164" s="199">
        <f t="shared" si="18"/>
        <v>0</v>
      </c>
      <c r="D1164" s="202"/>
    </row>
    <row r="1165" spans="1:4" ht="13.5" customHeight="1">
      <c r="A1165" s="207" t="s">
        <v>1247</v>
      </c>
      <c r="B1165" s="201"/>
      <c r="C1165" s="199">
        <f t="shared" si="18"/>
        <v>0</v>
      </c>
      <c r="D1165" s="202"/>
    </row>
    <row r="1166" spans="1:4" ht="13.5" customHeight="1">
      <c r="A1166" s="207" t="s">
        <v>1248</v>
      </c>
      <c r="B1166" s="201"/>
      <c r="C1166" s="199">
        <f t="shared" si="18"/>
        <v>0</v>
      </c>
      <c r="D1166" s="202"/>
    </row>
    <row r="1167" spans="1:4" ht="13.5" customHeight="1">
      <c r="A1167" s="207" t="s">
        <v>1249</v>
      </c>
      <c r="B1167" s="201"/>
      <c r="C1167" s="199">
        <f t="shared" si="18"/>
        <v>0</v>
      </c>
      <c r="D1167" s="202"/>
    </row>
    <row r="1168" spans="1:4" ht="13.5" customHeight="1">
      <c r="A1168" s="207" t="s">
        <v>1250</v>
      </c>
      <c r="B1168" s="201">
        <v>115</v>
      </c>
      <c r="C1168" s="199">
        <f t="shared" si="18"/>
        <v>115</v>
      </c>
      <c r="D1168" s="202"/>
    </row>
    <row r="1169" spans="1:4" ht="13.5" customHeight="1">
      <c r="A1169" s="207" t="s">
        <v>972</v>
      </c>
      <c r="B1169" s="201">
        <v>106</v>
      </c>
      <c r="C1169" s="199">
        <f t="shared" si="18"/>
        <v>87</v>
      </c>
      <c r="D1169" s="202">
        <v>19</v>
      </c>
    </row>
    <row r="1170" spans="1:4" ht="13.5" customHeight="1">
      <c r="A1170" s="207" t="s">
        <v>1251</v>
      </c>
      <c r="B1170" s="201"/>
      <c r="C1170" s="199">
        <f t="shared" si="18"/>
        <v>0</v>
      </c>
      <c r="D1170" s="202"/>
    </row>
    <row r="1171" spans="1:4" ht="13.5" customHeight="1">
      <c r="A1171" s="215" t="s">
        <v>1252</v>
      </c>
      <c r="B1171" s="201">
        <f>SUM(B1172:B1191)</f>
        <v>0</v>
      </c>
      <c r="C1171" s="199">
        <f t="shared" si="18"/>
        <v>0</v>
      </c>
      <c r="D1171" s="202">
        <f>SUM(D1172:D1191)</f>
        <v>0</v>
      </c>
    </row>
    <row r="1172" spans="1:4" ht="13.5" customHeight="1">
      <c r="A1172" s="207" t="s">
        <v>952</v>
      </c>
      <c r="B1172" s="201"/>
      <c r="C1172" s="199">
        <f t="shared" si="18"/>
        <v>0</v>
      </c>
      <c r="D1172" s="202"/>
    </row>
    <row r="1173" spans="1:4" ht="13.5" customHeight="1">
      <c r="A1173" s="207" t="s">
        <v>953</v>
      </c>
      <c r="B1173" s="201"/>
      <c r="C1173" s="199">
        <f t="shared" si="18"/>
        <v>0</v>
      </c>
      <c r="D1173" s="202"/>
    </row>
    <row r="1174" spans="1:4" ht="13.5" customHeight="1">
      <c r="A1174" s="207" t="s">
        <v>954</v>
      </c>
      <c r="B1174" s="201"/>
      <c r="C1174" s="199">
        <f t="shared" si="18"/>
        <v>0</v>
      </c>
      <c r="D1174" s="202"/>
    </row>
    <row r="1175" spans="1:4" ht="13.5" customHeight="1">
      <c r="A1175" s="207" t="s">
        <v>1253</v>
      </c>
      <c r="B1175" s="201"/>
      <c r="C1175" s="199">
        <f t="shared" si="18"/>
        <v>0</v>
      </c>
      <c r="D1175" s="202"/>
    </row>
    <row r="1176" spans="1:4" ht="13.5" customHeight="1">
      <c r="A1176" s="207" t="s">
        <v>1254</v>
      </c>
      <c r="B1176" s="201"/>
      <c r="C1176" s="199">
        <f t="shared" si="18"/>
        <v>0</v>
      </c>
      <c r="D1176" s="202"/>
    </row>
    <row r="1177" spans="1:4" ht="13.5" customHeight="1">
      <c r="A1177" s="207" t="s">
        <v>1255</v>
      </c>
      <c r="B1177" s="201"/>
      <c r="C1177" s="199">
        <f t="shared" si="18"/>
        <v>0</v>
      </c>
      <c r="D1177" s="202"/>
    </row>
    <row r="1178" spans="1:4" ht="13.5" customHeight="1">
      <c r="A1178" s="207" t="s">
        <v>1256</v>
      </c>
      <c r="B1178" s="201"/>
      <c r="C1178" s="199">
        <f t="shared" si="18"/>
        <v>0</v>
      </c>
      <c r="D1178" s="202"/>
    </row>
    <row r="1179" spans="1:4" ht="13.5" customHeight="1">
      <c r="A1179" s="207" t="s">
        <v>1257</v>
      </c>
      <c r="B1179" s="201"/>
      <c r="C1179" s="199">
        <f t="shared" si="18"/>
        <v>0</v>
      </c>
      <c r="D1179" s="202"/>
    </row>
    <row r="1180" spans="1:4" ht="13.5" customHeight="1">
      <c r="A1180" s="207" t="s">
        <v>1258</v>
      </c>
      <c r="B1180" s="201"/>
      <c r="C1180" s="199">
        <f t="shared" si="18"/>
        <v>0</v>
      </c>
      <c r="D1180" s="202"/>
    </row>
    <row r="1181" spans="1:4" ht="13.5" customHeight="1">
      <c r="A1181" s="207" t="s">
        <v>1259</v>
      </c>
      <c r="B1181" s="201"/>
      <c r="C1181" s="199">
        <f t="shared" si="18"/>
        <v>0</v>
      </c>
      <c r="D1181" s="202"/>
    </row>
    <row r="1182" spans="1:4" ht="13.5" customHeight="1">
      <c r="A1182" s="207" t="s">
        <v>1260</v>
      </c>
      <c r="B1182" s="201"/>
      <c r="C1182" s="199">
        <f t="shared" si="18"/>
        <v>0</v>
      </c>
      <c r="D1182" s="202"/>
    </row>
    <row r="1183" spans="1:4" ht="13.5" customHeight="1">
      <c r="A1183" s="207" t="s">
        <v>1261</v>
      </c>
      <c r="B1183" s="201"/>
      <c r="C1183" s="199">
        <f t="shared" si="18"/>
        <v>0</v>
      </c>
      <c r="D1183" s="202"/>
    </row>
    <row r="1184" spans="1:4" ht="13.5" customHeight="1">
      <c r="A1184" s="207" t="s">
        <v>1262</v>
      </c>
      <c r="B1184" s="201"/>
      <c r="C1184" s="199">
        <f t="shared" si="18"/>
        <v>0</v>
      </c>
      <c r="D1184" s="202"/>
    </row>
    <row r="1185" spans="1:4" ht="13.5" customHeight="1">
      <c r="A1185" s="207" t="s">
        <v>1263</v>
      </c>
      <c r="B1185" s="201"/>
      <c r="C1185" s="199">
        <f t="shared" si="18"/>
        <v>0</v>
      </c>
      <c r="D1185" s="202"/>
    </row>
    <row r="1186" spans="1:4" ht="13.5" customHeight="1">
      <c r="A1186" s="207" t="s">
        <v>1264</v>
      </c>
      <c r="B1186" s="201"/>
      <c r="C1186" s="199">
        <f t="shared" si="18"/>
        <v>0</v>
      </c>
      <c r="D1186" s="202"/>
    </row>
    <row r="1187" spans="1:4" ht="13.5" customHeight="1">
      <c r="A1187" s="207" t="s">
        <v>1265</v>
      </c>
      <c r="B1187" s="201"/>
      <c r="C1187" s="199">
        <f t="shared" si="18"/>
        <v>0</v>
      </c>
      <c r="D1187" s="202"/>
    </row>
    <row r="1188" spans="1:4" ht="13.5" customHeight="1">
      <c r="A1188" s="207" t="s">
        <v>1266</v>
      </c>
      <c r="B1188" s="201"/>
      <c r="C1188" s="199">
        <f t="shared" si="18"/>
        <v>0</v>
      </c>
      <c r="D1188" s="202"/>
    </row>
    <row r="1189" spans="1:4" ht="13.5" customHeight="1">
      <c r="A1189" s="207" t="s">
        <v>1267</v>
      </c>
      <c r="B1189" s="201"/>
      <c r="C1189" s="199">
        <f t="shared" si="18"/>
        <v>0</v>
      </c>
      <c r="D1189" s="202"/>
    </row>
    <row r="1190" spans="1:4" ht="13.5" customHeight="1">
      <c r="A1190" s="207" t="s">
        <v>972</v>
      </c>
      <c r="B1190" s="201"/>
      <c r="C1190" s="199">
        <f t="shared" si="18"/>
        <v>0</v>
      </c>
      <c r="D1190" s="202"/>
    </row>
    <row r="1191" spans="1:4" ht="13.5" customHeight="1">
      <c r="A1191" s="207" t="s">
        <v>1268</v>
      </c>
      <c r="B1191" s="201"/>
      <c r="C1191" s="199">
        <f t="shared" si="18"/>
        <v>0</v>
      </c>
      <c r="D1191" s="202"/>
    </row>
    <row r="1192" spans="1:4" ht="13.5" customHeight="1">
      <c r="A1192" s="215" t="s">
        <v>1269</v>
      </c>
      <c r="B1192" s="201">
        <f>SUM(B1193:B1200)</f>
        <v>0</v>
      </c>
      <c r="C1192" s="199">
        <f t="shared" si="18"/>
        <v>0</v>
      </c>
      <c r="D1192" s="202">
        <f>SUM(D1193:D1200)</f>
        <v>0</v>
      </c>
    </row>
    <row r="1193" spans="1:4" ht="13.5" customHeight="1">
      <c r="A1193" s="207" t="s">
        <v>952</v>
      </c>
      <c r="B1193" s="201"/>
      <c r="C1193" s="199">
        <f t="shared" si="18"/>
        <v>0</v>
      </c>
      <c r="D1193" s="202"/>
    </row>
    <row r="1194" spans="1:4" ht="13.5" customHeight="1">
      <c r="A1194" s="207" t="s">
        <v>953</v>
      </c>
      <c r="B1194" s="201"/>
      <c r="C1194" s="199">
        <f t="shared" si="18"/>
        <v>0</v>
      </c>
      <c r="D1194" s="202"/>
    </row>
    <row r="1195" spans="1:4" ht="13.5" customHeight="1">
      <c r="A1195" s="207" t="s">
        <v>954</v>
      </c>
      <c r="B1195" s="201"/>
      <c r="C1195" s="199">
        <f t="shared" si="18"/>
        <v>0</v>
      </c>
      <c r="D1195" s="202"/>
    </row>
    <row r="1196" spans="1:4" ht="13.5" customHeight="1">
      <c r="A1196" s="207" t="s">
        <v>1270</v>
      </c>
      <c r="B1196" s="201"/>
      <c r="C1196" s="199">
        <f t="shared" si="18"/>
        <v>0</v>
      </c>
      <c r="D1196" s="202"/>
    </row>
    <row r="1197" spans="1:4" ht="13.5" customHeight="1">
      <c r="A1197" s="207" t="s">
        <v>1271</v>
      </c>
      <c r="B1197" s="201"/>
      <c r="C1197" s="199">
        <f t="shared" si="18"/>
        <v>0</v>
      </c>
      <c r="D1197" s="202"/>
    </row>
    <row r="1198" spans="1:4" ht="13.5" customHeight="1">
      <c r="A1198" s="207" t="s">
        <v>1272</v>
      </c>
      <c r="B1198" s="201"/>
      <c r="C1198" s="199">
        <f t="shared" si="18"/>
        <v>0</v>
      </c>
      <c r="D1198" s="202"/>
    </row>
    <row r="1199" spans="1:4" ht="13.5" customHeight="1">
      <c r="A1199" s="207" t="s">
        <v>972</v>
      </c>
      <c r="B1199" s="201"/>
      <c r="C1199" s="199">
        <f t="shared" si="18"/>
        <v>0</v>
      </c>
      <c r="D1199" s="202"/>
    </row>
    <row r="1200" spans="1:4" ht="13.5" customHeight="1">
      <c r="A1200" s="207" t="s">
        <v>1273</v>
      </c>
      <c r="B1200" s="201"/>
      <c r="C1200" s="199">
        <f t="shared" si="18"/>
        <v>0</v>
      </c>
      <c r="D1200" s="202"/>
    </row>
    <row r="1201" spans="1:4" ht="13.5" customHeight="1">
      <c r="A1201" s="215" t="s">
        <v>1274</v>
      </c>
      <c r="B1201" s="201">
        <f>SUM(B1202:B1213)</f>
        <v>111</v>
      </c>
      <c r="C1201" s="199">
        <f t="shared" si="18"/>
        <v>111</v>
      </c>
      <c r="D1201" s="202">
        <f>SUM(D1202:D1213)</f>
        <v>0</v>
      </c>
    </row>
    <row r="1202" spans="1:4" ht="13.5" customHeight="1">
      <c r="A1202" s="207" t="s">
        <v>952</v>
      </c>
      <c r="B1202" s="201">
        <v>68</v>
      </c>
      <c r="C1202" s="199">
        <f t="shared" si="18"/>
        <v>68</v>
      </c>
      <c r="D1202" s="202"/>
    </row>
    <row r="1203" spans="1:4" ht="13.5" customHeight="1">
      <c r="A1203" s="207" t="s">
        <v>953</v>
      </c>
      <c r="B1203" s="201">
        <v>43</v>
      </c>
      <c r="C1203" s="199">
        <f t="shared" si="18"/>
        <v>43</v>
      </c>
      <c r="D1203" s="202"/>
    </row>
    <row r="1204" spans="1:4" ht="13.5" customHeight="1">
      <c r="A1204" s="207" t="s">
        <v>954</v>
      </c>
      <c r="B1204" s="201"/>
      <c r="C1204" s="199">
        <f t="shared" si="18"/>
        <v>0</v>
      </c>
      <c r="D1204" s="202"/>
    </row>
    <row r="1205" spans="1:4" ht="13.5" customHeight="1">
      <c r="A1205" s="207" t="s">
        <v>1275</v>
      </c>
      <c r="B1205" s="201"/>
      <c r="C1205" s="199">
        <f t="shared" si="18"/>
        <v>0</v>
      </c>
      <c r="D1205" s="202"/>
    </row>
    <row r="1206" spans="1:4" ht="13.5" customHeight="1">
      <c r="A1206" s="207" t="s">
        <v>1276</v>
      </c>
      <c r="B1206" s="201"/>
      <c r="C1206" s="199">
        <f t="shared" si="18"/>
        <v>0</v>
      </c>
      <c r="D1206" s="202"/>
    </row>
    <row r="1207" spans="1:4" ht="13.5" customHeight="1">
      <c r="A1207" s="207" t="s">
        <v>1277</v>
      </c>
      <c r="B1207" s="201"/>
      <c r="C1207" s="199">
        <f t="shared" si="18"/>
        <v>0</v>
      </c>
      <c r="D1207" s="202"/>
    </row>
    <row r="1208" spans="1:4" ht="13.5" customHeight="1">
      <c r="A1208" s="207" t="s">
        <v>1278</v>
      </c>
      <c r="B1208" s="201"/>
      <c r="C1208" s="199">
        <f t="shared" si="18"/>
        <v>0</v>
      </c>
      <c r="D1208" s="202"/>
    </row>
    <row r="1209" spans="1:4" ht="13.5" customHeight="1">
      <c r="A1209" s="207" t="s">
        <v>1279</v>
      </c>
      <c r="B1209" s="201"/>
      <c r="C1209" s="199">
        <f t="shared" si="18"/>
        <v>0</v>
      </c>
      <c r="D1209" s="202"/>
    </row>
    <row r="1210" spans="1:4" ht="13.5" customHeight="1">
      <c r="A1210" s="207" t="s">
        <v>1280</v>
      </c>
      <c r="B1210" s="201"/>
      <c r="C1210" s="199">
        <f t="shared" si="18"/>
        <v>0</v>
      </c>
      <c r="D1210" s="202"/>
    </row>
    <row r="1211" spans="1:4" ht="13.5" customHeight="1">
      <c r="A1211" s="207" t="s">
        <v>1281</v>
      </c>
      <c r="B1211" s="201"/>
      <c r="C1211" s="199">
        <f t="shared" si="18"/>
        <v>0</v>
      </c>
      <c r="D1211" s="202"/>
    </row>
    <row r="1212" spans="1:4" ht="13.5" customHeight="1">
      <c r="A1212" s="207" t="s">
        <v>1282</v>
      </c>
      <c r="B1212" s="201"/>
      <c r="C1212" s="199">
        <f t="shared" si="18"/>
        <v>0</v>
      </c>
      <c r="D1212" s="202"/>
    </row>
    <row r="1213" spans="1:4" ht="13.5" customHeight="1">
      <c r="A1213" s="207" t="s">
        <v>1283</v>
      </c>
      <c r="B1213" s="201"/>
      <c r="C1213" s="199">
        <f t="shared" si="18"/>
        <v>0</v>
      </c>
      <c r="D1213" s="202"/>
    </row>
    <row r="1214" spans="1:4" ht="13.5" customHeight="1">
      <c r="A1214" s="215" t="s">
        <v>1284</v>
      </c>
      <c r="B1214" s="201">
        <f>SUM(B1215:B1228)</f>
        <v>65</v>
      </c>
      <c r="C1214" s="199">
        <f t="shared" si="18"/>
        <v>65</v>
      </c>
      <c r="D1214" s="202">
        <f>SUM(D1215:D1228)</f>
        <v>0</v>
      </c>
    </row>
    <row r="1215" spans="1:4" ht="13.5" customHeight="1">
      <c r="A1215" s="207" t="s">
        <v>952</v>
      </c>
      <c r="B1215" s="201"/>
      <c r="C1215" s="199">
        <f t="shared" si="18"/>
        <v>0</v>
      </c>
      <c r="D1215" s="202"/>
    </row>
    <row r="1216" spans="1:4" ht="13.5" customHeight="1">
      <c r="A1216" s="207" t="s">
        <v>953</v>
      </c>
      <c r="B1216" s="201"/>
      <c r="C1216" s="199">
        <f t="shared" si="18"/>
        <v>0</v>
      </c>
      <c r="D1216" s="202"/>
    </row>
    <row r="1217" spans="1:4" ht="13.5" customHeight="1">
      <c r="A1217" s="207" t="s">
        <v>954</v>
      </c>
      <c r="B1217" s="201"/>
      <c r="C1217" s="199">
        <f t="shared" si="18"/>
        <v>0</v>
      </c>
      <c r="D1217" s="202"/>
    </row>
    <row r="1218" spans="1:4" ht="13.5" customHeight="1">
      <c r="A1218" s="207" t="s">
        <v>1285</v>
      </c>
      <c r="B1218" s="201"/>
      <c r="C1218" s="199">
        <f t="shared" si="18"/>
        <v>0</v>
      </c>
      <c r="D1218" s="202"/>
    </row>
    <row r="1219" spans="1:4" ht="13.5" customHeight="1">
      <c r="A1219" s="207" t="s">
        <v>1286</v>
      </c>
      <c r="B1219" s="201"/>
      <c r="C1219" s="199">
        <f t="shared" si="18"/>
        <v>0</v>
      </c>
      <c r="D1219" s="202"/>
    </row>
    <row r="1220" spans="1:4" ht="13.5" customHeight="1">
      <c r="A1220" s="207" t="s">
        <v>1287</v>
      </c>
      <c r="B1220" s="201"/>
      <c r="C1220" s="199">
        <f t="shared" si="18"/>
        <v>0</v>
      </c>
      <c r="D1220" s="202"/>
    </row>
    <row r="1221" spans="1:4" ht="13.5" customHeight="1">
      <c r="A1221" s="207" t="s">
        <v>1288</v>
      </c>
      <c r="B1221" s="201"/>
      <c r="C1221" s="199">
        <f t="shared" si="18"/>
        <v>0</v>
      </c>
      <c r="D1221" s="202"/>
    </row>
    <row r="1222" spans="1:4" ht="13.5" customHeight="1">
      <c r="A1222" s="207" t="s">
        <v>1289</v>
      </c>
      <c r="B1222" s="201">
        <v>65</v>
      </c>
      <c r="C1222" s="199">
        <f t="shared" si="18"/>
        <v>65</v>
      </c>
      <c r="D1222" s="202"/>
    </row>
    <row r="1223" spans="1:4" ht="13.5" customHeight="1">
      <c r="A1223" s="207" t="s">
        <v>1290</v>
      </c>
      <c r="B1223" s="201"/>
      <c r="C1223" s="199">
        <f aca="true" t="shared" si="19" ref="C1223:C1286">B1223-D1223</f>
        <v>0</v>
      </c>
      <c r="D1223" s="202"/>
    </row>
    <row r="1224" spans="1:4" ht="13.5" customHeight="1">
      <c r="A1224" s="207" t="s">
        <v>1291</v>
      </c>
      <c r="B1224" s="201"/>
      <c r="C1224" s="199">
        <f t="shared" si="19"/>
        <v>0</v>
      </c>
      <c r="D1224" s="202"/>
    </row>
    <row r="1225" spans="1:4" ht="13.5" customHeight="1">
      <c r="A1225" s="207" t="s">
        <v>1292</v>
      </c>
      <c r="B1225" s="201"/>
      <c r="C1225" s="199">
        <f t="shared" si="19"/>
        <v>0</v>
      </c>
      <c r="D1225" s="202"/>
    </row>
    <row r="1226" spans="1:4" ht="13.5" customHeight="1">
      <c r="A1226" s="207" t="s">
        <v>1293</v>
      </c>
      <c r="B1226" s="201"/>
      <c r="C1226" s="199">
        <f t="shared" si="19"/>
        <v>0</v>
      </c>
      <c r="D1226" s="202"/>
    </row>
    <row r="1227" spans="1:4" ht="13.5" customHeight="1">
      <c r="A1227" s="207" t="s">
        <v>1294</v>
      </c>
      <c r="B1227" s="201"/>
      <c r="C1227" s="199">
        <f t="shared" si="19"/>
        <v>0</v>
      </c>
      <c r="D1227" s="202"/>
    </row>
    <row r="1228" spans="1:4" ht="13.5" customHeight="1">
      <c r="A1228" s="207" t="s">
        <v>1295</v>
      </c>
      <c r="B1228" s="201"/>
      <c r="C1228" s="199">
        <f t="shared" si="19"/>
        <v>0</v>
      </c>
      <c r="D1228" s="202"/>
    </row>
    <row r="1229" spans="1:4" ht="13.5" customHeight="1">
      <c r="A1229" s="215" t="s">
        <v>1296</v>
      </c>
      <c r="B1229" s="201"/>
      <c r="C1229" s="199">
        <f t="shared" si="19"/>
        <v>0</v>
      </c>
      <c r="D1229" s="209"/>
    </row>
    <row r="1230" spans="1:4" ht="13.5" customHeight="1">
      <c r="A1230" s="215" t="s">
        <v>1297</v>
      </c>
      <c r="B1230" s="201">
        <f>SUM(B1231,B1240,B1244)</f>
        <v>23984</v>
      </c>
      <c r="C1230" s="199">
        <f t="shared" si="19"/>
        <v>9371</v>
      </c>
      <c r="D1230" s="202">
        <f>SUM(D1231,D1240,D1244)</f>
        <v>14613</v>
      </c>
    </row>
    <row r="1231" spans="1:4" ht="13.5" customHeight="1">
      <c r="A1231" s="215" t="s">
        <v>1298</v>
      </c>
      <c r="B1231" s="201">
        <f>SUM(B1232:B1239)</f>
        <v>16713</v>
      </c>
      <c r="C1231" s="199">
        <f t="shared" si="19"/>
        <v>2100</v>
      </c>
      <c r="D1231" s="202">
        <f>SUM(D1232:D1239)</f>
        <v>14613</v>
      </c>
    </row>
    <row r="1232" spans="1:4" ht="13.5" customHeight="1">
      <c r="A1232" s="207" t="s">
        <v>1299</v>
      </c>
      <c r="B1232" s="201"/>
      <c r="C1232" s="199">
        <f t="shared" si="19"/>
        <v>0</v>
      </c>
      <c r="D1232" s="202"/>
    </row>
    <row r="1233" spans="1:4" ht="13.5" customHeight="1">
      <c r="A1233" s="207" t="s">
        <v>1300</v>
      </c>
      <c r="B1233" s="201"/>
      <c r="C1233" s="199">
        <f t="shared" si="19"/>
        <v>0</v>
      </c>
      <c r="D1233" s="202"/>
    </row>
    <row r="1234" spans="1:4" ht="13.5" customHeight="1">
      <c r="A1234" s="207" t="s">
        <v>1301</v>
      </c>
      <c r="B1234" s="201">
        <f>14261-2000-1000</f>
        <v>11261</v>
      </c>
      <c r="C1234" s="199">
        <f t="shared" si="19"/>
        <v>0</v>
      </c>
      <c r="D1234" s="202">
        <f>14261-3000</f>
        <v>11261</v>
      </c>
    </row>
    <row r="1235" spans="1:4" ht="13.5" customHeight="1">
      <c r="A1235" s="207" t="s">
        <v>1302</v>
      </c>
      <c r="B1235" s="201"/>
      <c r="C1235" s="199">
        <f t="shared" si="19"/>
        <v>0</v>
      </c>
      <c r="D1235" s="202"/>
    </row>
    <row r="1236" spans="1:4" ht="13.5" customHeight="1">
      <c r="A1236" s="207" t="s">
        <v>1303</v>
      </c>
      <c r="B1236" s="201"/>
      <c r="C1236" s="199">
        <f t="shared" si="19"/>
        <v>0</v>
      </c>
      <c r="D1236" s="202"/>
    </row>
    <row r="1237" spans="1:4" ht="13.5" customHeight="1">
      <c r="A1237" s="207" t="s">
        <v>1304</v>
      </c>
      <c r="B1237" s="201">
        <v>5438</v>
      </c>
      <c r="C1237" s="199">
        <f t="shared" si="19"/>
        <v>2100</v>
      </c>
      <c r="D1237" s="202">
        <f>338+3000</f>
        <v>3338</v>
      </c>
    </row>
    <row r="1238" spans="1:4" ht="13.5" customHeight="1">
      <c r="A1238" s="207" t="s">
        <v>1305</v>
      </c>
      <c r="B1238" s="201"/>
      <c r="C1238" s="199">
        <f t="shared" si="19"/>
        <v>0</v>
      </c>
      <c r="D1238" s="202"/>
    </row>
    <row r="1239" spans="1:4" ht="13.5" customHeight="1">
      <c r="A1239" s="207" t="s">
        <v>1306</v>
      </c>
      <c r="B1239" s="201">
        <v>14</v>
      </c>
      <c r="C1239" s="199">
        <f t="shared" si="19"/>
        <v>0</v>
      </c>
      <c r="D1239" s="202">
        <v>14</v>
      </c>
    </row>
    <row r="1240" spans="1:4" ht="13.5" customHeight="1">
      <c r="A1240" s="215" t="s">
        <v>1307</v>
      </c>
      <c r="B1240" s="201">
        <f>SUM(B1241:B1243)</f>
        <v>4975</v>
      </c>
      <c r="C1240" s="199">
        <f t="shared" si="19"/>
        <v>4975</v>
      </c>
      <c r="D1240" s="202">
        <f>SUM(D1241:D1243)</f>
        <v>0</v>
      </c>
    </row>
    <row r="1241" spans="1:4" ht="13.5" customHeight="1">
      <c r="A1241" s="207" t="s">
        <v>1308</v>
      </c>
      <c r="B1241" s="201">
        <f>3575+1000+400</f>
        <v>4975</v>
      </c>
      <c r="C1241" s="199">
        <f t="shared" si="19"/>
        <v>4975</v>
      </c>
      <c r="D1241" s="202"/>
    </row>
    <row r="1242" spans="1:4" ht="13.5" customHeight="1">
      <c r="A1242" s="207" t="s">
        <v>1309</v>
      </c>
      <c r="B1242" s="201"/>
      <c r="C1242" s="199">
        <f t="shared" si="19"/>
        <v>0</v>
      </c>
      <c r="D1242" s="202"/>
    </row>
    <row r="1243" spans="1:4" ht="13.5" customHeight="1">
      <c r="A1243" s="207" t="s">
        <v>1310</v>
      </c>
      <c r="B1243" s="201"/>
      <c r="C1243" s="199">
        <f t="shared" si="19"/>
        <v>0</v>
      </c>
      <c r="D1243" s="202"/>
    </row>
    <row r="1244" spans="1:4" ht="13.5" customHeight="1">
      <c r="A1244" s="215" t="s">
        <v>1311</v>
      </c>
      <c r="B1244" s="201">
        <f>SUM(B1245:B1247)</f>
        <v>2296</v>
      </c>
      <c r="C1244" s="199">
        <f t="shared" si="19"/>
        <v>2296</v>
      </c>
      <c r="D1244" s="202">
        <f>SUM(D1245:D1247)</f>
        <v>0</v>
      </c>
    </row>
    <row r="1245" spans="1:4" ht="13.5" customHeight="1">
      <c r="A1245" s="207" t="s">
        <v>1312</v>
      </c>
      <c r="B1245" s="201"/>
      <c r="C1245" s="199">
        <f t="shared" si="19"/>
        <v>0</v>
      </c>
      <c r="D1245" s="202"/>
    </row>
    <row r="1246" spans="1:4" ht="13.5" customHeight="1">
      <c r="A1246" s="207" t="s">
        <v>1313</v>
      </c>
      <c r="B1246" s="201">
        <f>1696-400</f>
        <v>1296</v>
      </c>
      <c r="C1246" s="199">
        <f t="shared" si="19"/>
        <v>1296</v>
      </c>
      <c r="D1246" s="202"/>
    </row>
    <row r="1247" spans="1:4" ht="13.5" customHeight="1">
      <c r="A1247" s="207" t="s">
        <v>1314</v>
      </c>
      <c r="B1247" s="201">
        <v>1000</v>
      </c>
      <c r="C1247" s="199">
        <f t="shared" si="19"/>
        <v>1000</v>
      </c>
      <c r="D1247" s="202"/>
    </row>
    <row r="1248" spans="1:4" ht="13.5" customHeight="1">
      <c r="A1248" s="215" t="s">
        <v>1315</v>
      </c>
      <c r="B1248" s="201">
        <f>SUM(B1249,B1264,B1278,B1284,B1290)</f>
        <v>948</v>
      </c>
      <c r="C1248" s="199">
        <f t="shared" si="19"/>
        <v>637</v>
      </c>
      <c r="D1248" s="202">
        <f>SUM(D1249,D1264,D1278,D1284,D1290)</f>
        <v>311</v>
      </c>
    </row>
    <row r="1249" spans="1:4" ht="13.5" customHeight="1">
      <c r="A1249" s="215" t="s">
        <v>1316</v>
      </c>
      <c r="B1249" s="201">
        <f>SUM(B1250:B1263)</f>
        <v>886</v>
      </c>
      <c r="C1249" s="199">
        <f t="shared" si="19"/>
        <v>575</v>
      </c>
      <c r="D1249" s="202">
        <f>SUM(D1250:D1263)</f>
        <v>311</v>
      </c>
    </row>
    <row r="1250" spans="1:4" ht="13.5" customHeight="1">
      <c r="A1250" s="207" t="s">
        <v>952</v>
      </c>
      <c r="B1250" s="201">
        <f>693+37</f>
        <v>730</v>
      </c>
      <c r="C1250" s="199">
        <f t="shared" si="19"/>
        <v>569</v>
      </c>
      <c r="D1250" s="202">
        <v>161</v>
      </c>
    </row>
    <row r="1251" spans="1:4" ht="13.5" customHeight="1">
      <c r="A1251" s="207" t="s">
        <v>953</v>
      </c>
      <c r="B1251" s="201"/>
      <c r="C1251" s="199">
        <f t="shared" si="19"/>
        <v>0</v>
      </c>
      <c r="D1251" s="202"/>
    </row>
    <row r="1252" spans="1:4" ht="13.5" customHeight="1">
      <c r="A1252" s="207" t="s">
        <v>954</v>
      </c>
      <c r="B1252" s="201"/>
      <c r="C1252" s="199">
        <f t="shared" si="19"/>
        <v>0</v>
      </c>
      <c r="D1252" s="202"/>
    </row>
    <row r="1253" spans="1:4" ht="13.5" customHeight="1">
      <c r="A1253" s="207" t="s">
        <v>1317</v>
      </c>
      <c r="B1253" s="201"/>
      <c r="C1253" s="199">
        <f t="shared" si="19"/>
        <v>0</v>
      </c>
      <c r="D1253" s="202"/>
    </row>
    <row r="1254" spans="1:4" ht="13.5" customHeight="1">
      <c r="A1254" s="207" t="s">
        <v>1318</v>
      </c>
      <c r="B1254" s="201"/>
      <c r="C1254" s="199">
        <f t="shared" si="19"/>
        <v>0</v>
      </c>
      <c r="D1254" s="202"/>
    </row>
    <row r="1255" spans="1:4" ht="13.5" customHeight="1">
      <c r="A1255" s="207" t="s">
        <v>1319</v>
      </c>
      <c r="B1255" s="201"/>
      <c r="C1255" s="199">
        <f t="shared" si="19"/>
        <v>0</v>
      </c>
      <c r="D1255" s="202"/>
    </row>
    <row r="1256" spans="1:4" ht="13.5" customHeight="1">
      <c r="A1256" s="207" t="s">
        <v>1320</v>
      </c>
      <c r="B1256" s="201"/>
      <c r="C1256" s="199">
        <f t="shared" si="19"/>
        <v>0</v>
      </c>
      <c r="D1256" s="202"/>
    </row>
    <row r="1257" spans="1:4" ht="13.5" customHeight="1">
      <c r="A1257" s="207" t="s">
        <v>1321</v>
      </c>
      <c r="B1257" s="201"/>
      <c r="C1257" s="199">
        <f t="shared" si="19"/>
        <v>0</v>
      </c>
      <c r="D1257" s="202"/>
    </row>
    <row r="1258" spans="1:4" ht="13.5" customHeight="1">
      <c r="A1258" s="207" t="s">
        <v>1322</v>
      </c>
      <c r="B1258" s="201"/>
      <c r="C1258" s="199">
        <f t="shared" si="19"/>
        <v>0</v>
      </c>
      <c r="D1258" s="202"/>
    </row>
    <row r="1259" spans="1:4" ht="13.5" customHeight="1">
      <c r="A1259" s="207" t="s">
        <v>1323</v>
      </c>
      <c r="B1259" s="201"/>
      <c r="C1259" s="199">
        <f t="shared" si="19"/>
        <v>0</v>
      </c>
      <c r="D1259" s="202"/>
    </row>
    <row r="1260" spans="1:4" ht="13.5" customHeight="1">
      <c r="A1260" s="207" t="s">
        <v>1324</v>
      </c>
      <c r="B1260" s="201"/>
      <c r="C1260" s="199">
        <f t="shared" si="19"/>
        <v>0</v>
      </c>
      <c r="D1260" s="202"/>
    </row>
    <row r="1261" spans="1:4" ht="13.5" customHeight="1">
      <c r="A1261" s="207" t="s">
        <v>1325</v>
      </c>
      <c r="B1261" s="201"/>
      <c r="C1261" s="199">
        <f t="shared" si="19"/>
        <v>0</v>
      </c>
      <c r="D1261" s="202"/>
    </row>
    <row r="1262" spans="1:4" ht="13.5" customHeight="1">
      <c r="A1262" s="207" t="s">
        <v>972</v>
      </c>
      <c r="B1262" s="201"/>
      <c r="C1262" s="199">
        <f t="shared" si="19"/>
        <v>0</v>
      </c>
      <c r="D1262" s="202"/>
    </row>
    <row r="1263" spans="1:4" ht="13.5" customHeight="1">
      <c r="A1263" s="207" t="s">
        <v>1326</v>
      </c>
      <c r="B1263" s="201">
        <f>311-62-37-37-19</f>
        <v>156</v>
      </c>
      <c r="C1263" s="199">
        <f t="shared" si="19"/>
        <v>6</v>
      </c>
      <c r="D1263" s="202">
        <v>150</v>
      </c>
    </row>
    <row r="1264" spans="1:4" ht="13.5" customHeight="1">
      <c r="A1264" s="215" t="s">
        <v>1327</v>
      </c>
      <c r="B1264" s="201">
        <f>SUM(B1265:B1277)</f>
        <v>0</v>
      </c>
      <c r="C1264" s="199">
        <f t="shared" si="19"/>
        <v>0</v>
      </c>
      <c r="D1264" s="202">
        <f>SUM(D1265:D1277)</f>
        <v>0</v>
      </c>
    </row>
    <row r="1265" spans="1:4" ht="13.5" customHeight="1">
      <c r="A1265" s="207" t="s">
        <v>952</v>
      </c>
      <c r="B1265" s="201"/>
      <c r="C1265" s="199">
        <f t="shared" si="19"/>
        <v>0</v>
      </c>
      <c r="D1265" s="202"/>
    </row>
    <row r="1266" spans="1:4" ht="13.5" customHeight="1">
      <c r="A1266" s="207" t="s">
        <v>953</v>
      </c>
      <c r="B1266" s="201"/>
      <c r="C1266" s="199">
        <f t="shared" si="19"/>
        <v>0</v>
      </c>
      <c r="D1266" s="202"/>
    </row>
    <row r="1267" spans="1:4" ht="13.5" customHeight="1">
      <c r="A1267" s="207" t="s">
        <v>954</v>
      </c>
      <c r="B1267" s="201"/>
      <c r="C1267" s="199">
        <f t="shared" si="19"/>
        <v>0</v>
      </c>
      <c r="D1267" s="202"/>
    </row>
    <row r="1268" spans="1:4" ht="13.5" customHeight="1">
      <c r="A1268" s="207" t="s">
        <v>1328</v>
      </c>
      <c r="B1268" s="201"/>
      <c r="C1268" s="199">
        <f t="shared" si="19"/>
        <v>0</v>
      </c>
      <c r="D1268" s="202"/>
    </row>
    <row r="1269" spans="1:4" ht="13.5" customHeight="1">
      <c r="A1269" s="207" t="s">
        <v>1329</v>
      </c>
      <c r="B1269" s="201"/>
      <c r="C1269" s="199">
        <f t="shared" si="19"/>
        <v>0</v>
      </c>
      <c r="D1269" s="202"/>
    </row>
    <row r="1270" spans="1:4" ht="13.5" customHeight="1">
      <c r="A1270" s="207" t="s">
        <v>1330</v>
      </c>
      <c r="B1270" s="201"/>
      <c r="C1270" s="199">
        <f t="shared" si="19"/>
        <v>0</v>
      </c>
      <c r="D1270" s="202"/>
    </row>
    <row r="1271" spans="1:4" ht="13.5" customHeight="1">
      <c r="A1271" s="207" t="s">
        <v>1331</v>
      </c>
      <c r="B1271" s="201"/>
      <c r="C1271" s="199">
        <f t="shared" si="19"/>
        <v>0</v>
      </c>
      <c r="D1271" s="202"/>
    </row>
    <row r="1272" spans="1:4" ht="13.5" customHeight="1">
      <c r="A1272" s="207" t="s">
        <v>1332</v>
      </c>
      <c r="B1272" s="201"/>
      <c r="C1272" s="199">
        <f t="shared" si="19"/>
        <v>0</v>
      </c>
      <c r="D1272" s="202"/>
    </row>
    <row r="1273" spans="1:4" ht="13.5" customHeight="1">
      <c r="A1273" s="207" t="s">
        <v>1333</v>
      </c>
      <c r="B1273" s="201"/>
      <c r="C1273" s="199">
        <f t="shared" si="19"/>
        <v>0</v>
      </c>
      <c r="D1273" s="202"/>
    </row>
    <row r="1274" spans="1:4" ht="13.5" customHeight="1">
      <c r="A1274" s="207" t="s">
        <v>1334</v>
      </c>
      <c r="B1274" s="201"/>
      <c r="C1274" s="199">
        <f t="shared" si="19"/>
        <v>0</v>
      </c>
      <c r="D1274" s="202"/>
    </row>
    <row r="1275" spans="1:4" ht="13.5" customHeight="1">
      <c r="A1275" s="207" t="s">
        <v>1335</v>
      </c>
      <c r="B1275" s="201"/>
      <c r="C1275" s="199">
        <f t="shared" si="19"/>
        <v>0</v>
      </c>
      <c r="D1275" s="202"/>
    </row>
    <row r="1276" spans="1:4" ht="13.5" customHeight="1">
      <c r="A1276" s="207" t="s">
        <v>972</v>
      </c>
      <c r="B1276" s="201"/>
      <c r="C1276" s="199">
        <f t="shared" si="19"/>
        <v>0</v>
      </c>
      <c r="D1276" s="202"/>
    </row>
    <row r="1277" spans="1:4" ht="13.5" customHeight="1">
      <c r="A1277" s="207" t="s">
        <v>1336</v>
      </c>
      <c r="B1277" s="201"/>
      <c r="C1277" s="199">
        <f t="shared" si="19"/>
        <v>0</v>
      </c>
      <c r="D1277" s="202"/>
    </row>
    <row r="1278" spans="1:4" ht="13.5" customHeight="1">
      <c r="A1278" s="215" t="s">
        <v>1337</v>
      </c>
      <c r="B1278" s="201">
        <f>SUM(B1279:B1283)</f>
        <v>0</v>
      </c>
      <c r="C1278" s="199">
        <f t="shared" si="19"/>
        <v>0</v>
      </c>
      <c r="D1278" s="202">
        <f>SUM(D1279:D1283)</f>
        <v>0</v>
      </c>
    </row>
    <row r="1279" spans="1:4" ht="13.5" customHeight="1">
      <c r="A1279" s="207" t="s">
        <v>1338</v>
      </c>
      <c r="B1279" s="201"/>
      <c r="C1279" s="199">
        <f t="shared" si="19"/>
        <v>0</v>
      </c>
      <c r="D1279" s="202"/>
    </row>
    <row r="1280" spans="1:4" ht="13.5" customHeight="1">
      <c r="A1280" s="207" t="s">
        <v>1339</v>
      </c>
      <c r="B1280" s="201"/>
      <c r="C1280" s="199">
        <f t="shared" si="19"/>
        <v>0</v>
      </c>
      <c r="D1280" s="202"/>
    </row>
    <row r="1281" spans="1:4" ht="13.5" customHeight="1">
      <c r="A1281" s="207" t="s">
        <v>1340</v>
      </c>
      <c r="B1281" s="201"/>
      <c r="C1281" s="199">
        <f t="shared" si="19"/>
        <v>0</v>
      </c>
      <c r="D1281" s="202"/>
    </row>
    <row r="1282" spans="1:4" ht="13.5" customHeight="1">
      <c r="A1282" s="207" t="s">
        <v>1341</v>
      </c>
      <c r="B1282" s="201"/>
      <c r="C1282" s="199">
        <f t="shared" si="19"/>
        <v>0</v>
      </c>
      <c r="D1282" s="202"/>
    </row>
    <row r="1283" spans="1:4" ht="13.5" customHeight="1">
      <c r="A1283" s="207" t="s">
        <v>1342</v>
      </c>
      <c r="B1283" s="201"/>
      <c r="C1283" s="199">
        <f t="shared" si="19"/>
        <v>0</v>
      </c>
      <c r="D1283" s="202"/>
    </row>
    <row r="1284" spans="1:4" ht="13.5" customHeight="1">
      <c r="A1284" s="215" t="s">
        <v>1343</v>
      </c>
      <c r="B1284" s="201">
        <f>SUM(B1285:B1289)</f>
        <v>62</v>
      </c>
      <c r="C1284" s="199">
        <f t="shared" si="19"/>
        <v>62</v>
      </c>
      <c r="D1284" s="202">
        <f>SUM(D1285:D1289)</f>
        <v>0</v>
      </c>
    </row>
    <row r="1285" spans="1:4" ht="13.5" customHeight="1">
      <c r="A1285" s="207" t="s">
        <v>1344</v>
      </c>
      <c r="B1285" s="201">
        <v>62</v>
      </c>
      <c r="C1285" s="199">
        <f t="shared" si="19"/>
        <v>62</v>
      </c>
      <c r="D1285" s="202"/>
    </row>
    <row r="1286" spans="1:4" ht="13.5" customHeight="1">
      <c r="A1286" s="207" t="s">
        <v>1345</v>
      </c>
      <c r="B1286" s="201"/>
      <c r="C1286" s="199">
        <f t="shared" si="19"/>
        <v>0</v>
      </c>
      <c r="D1286" s="202"/>
    </row>
    <row r="1287" spans="1:4" ht="13.5" customHeight="1">
      <c r="A1287" s="207" t="s">
        <v>1346</v>
      </c>
      <c r="B1287" s="201"/>
      <c r="C1287" s="199">
        <f aca="true" t="shared" si="20" ref="C1287:C1313">B1287-D1287</f>
        <v>0</v>
      </c>
      <c r="D1287" s="202"/>
    </row>
    <row r="1288" spans="1:4" ht="13.5" customHeight="1">
      <c r="A1288" s="207" t="s">
        <v>1347</v>
      </c>
      <c r="B1288" s="201"/>
      <c r="C1288" s="199">
        <f t="shared" si="20"/>
        <v>0</v>
      </c>
      <c r="D1288" s="202"/>
    </row>
    <row r="1289" spans="1:4" ht="13.5" customHeight="1">
      <c r="A1289" s="207" t="s">
        <v>1348</v>
      </c>
      <c r="B1289" s="201"/>
      <c r="C1289" s="199">
        <f t="shared" si="20"/>
        <v>0</v>
      </c>
      <c r="D1289" s="202"/>
    </row>
    <row r="1290" spans="1:4" ht="13.5" customHeight="1">
      <c r="A1290" s="215" t="s">
        <v>1349</v>
      </c>
      <c r="B1290" s="201">
        <f>SUM(B1291:B1301)</f>
        <v>0</v>
      </c>
      <c r="C1290" s="199">
        <f t="shared" si="20"/>
        <v>0</v>
      </c>
      <c r="D1290" s="202">
        <f>SUM(D1291:D1301)</f>
        <v>0</v>
      </c>
    </row>
    <row r="1291" spans="1:4" ht="13.5" customHeight="1">
      <c r="A1291" s="207" t="s">
        <v>1350</v>
      </c>
      <c r="B1291" s="201"/>
      <c r="C1291" s="199">
        <f t="shared" si="20"/>
        <v>0</v>
      </c>
      <c r="D1291" s="202"/>
    </row>
    <row r="1292" spans="1:4" ht="13.5" customHeight="1">
      <c r="A1292" s="207" t="s">
        <v>1351</v>
      </c>
      <c r="B1292" s="201"/>
      <c r="C1292" s="199">
        <f t="shared" si="20"/>
        <v>0</v>
      </c>
      <c r="D1292" s="202"/>
    </row>
    <row r="1293" spans="1:4" ht="13.5" customHeight="1">
      <c r="A1293" s="207" t="s">
        <v>1352</v>
      </c>
      <c r="B1293" s="201"/>
      <c r="C1293" s="199">
        <f t="shared" si="20"/>
        <v>0</v>
      </c>
      <c r="D1293" s="202"/>
    </row>
    <row r="1294" spans="1:4" ht="13.5" customHeight="1">
      <c r="A1294" s="207" t="s">
        <v>1353</v>
      </c>
      <c r="B1294" s="201"/>
      <c r="C1294" s="199">
        <f t="shared" si="20"/>
        <v>0</v>
      </c>
      <c r="D1294" s="202"/>
    </row>
    <row r="1295" spans="1:4" ht="13.5" customHeight="1">
      <c r="A1295" s="207" t="s">
        <v>1354</v>
      </c>
      <c r="B1295" s="201"/>
      <c r="C1295" s="199">
        <f t="shared" si="20"/>
        <v>0</v>
      </c>
      <c r="D1295" s="202"/>
    </row>
    <row r="1296" spans="1:4" ht="13.5" customHeight="1">
      <c r="A1296" s="207" t="s">
        <v>1355</v>
      </c>
      <c r="B1296" s="201"/>
      <c r="C1296" s="199">
        <f t="shared" si="20"/>
        <v>0</v>
      </c>
      <c r="D1296" s="202"/>
    </row>
    <row r="1297" spans="1:4" ht="13.5" customHeight="1">
      <c r="A1297" s="207" t="s">
        <v>1356</v>
      </c>
      <c r="B1297" s="201"/>
      <c r="C1297" s="199">
        <f t="shared" si="20"/>
        <v>0</v>
      </c>
      <c r="D1297" s="202"/>
    </row>
    <row r="1298" spans="1:4" ht="13.5" customHeight="1">
      <c r="A1298" s="207" t="s">
        <v>1357</v>
      </c>
      <c r="B1298" s="201"/>
      <c r="C1298" s="199">
        <f t="shared" si="20"/>
        <v>0</v>
      </c>
      <c r="D1298" s="202"/>
    </row>
    <row r="1299" spans="1:4" ht="13.5" customHeight="1">
      <c r="A1299" s="207" t="s">
        <v>1358</v>
      </c>
      <c r="B1299" s="201"/>
      <c r="C1299" s="199">
        <f t="shared" si="20"/>
        <v>0</v>
      </c>
      <c r="D1299" s="202"/>
    </row>
    <row r="1300" spans="1:4" ht="13.5" customHeight="1">
      <c r="A1300" s="207" t="s">
        <v>1359</v>
      </c>
      <c r="B1300" s="201"/>
      <c r="C1300" s="199">
        <f t="shared" si="20"/>
        <v>0</v>
      </c>
      <c r="D1300" s="202"/>
    </row>
    <row r="1301" spans="1:4" ht="13.5" customHeight="1">
      <c r="A1301" s="207" t="s">
        <v>1360</v>
      </c>
      <c r="B1301" s="201"/>
      <c r="C1301" s="199">
        <f t="shared" si="20"/>
        <v>0</v>
      </c>
      <c r="D1301" s="202"/>
    </row>
    <row r="1302" spans="1:4" ht="13.5" customHeight="1">
      <c r="A1302" s="215" t="s">
        <v>1361</v>
      </c>
      <c r="B1302" s="201">
        <v>8000</v>
      </c>
      <c r="C1302" s="199">
        <f t="shared" si="20"/>
        <v>8000</v>
      </c>
      <c r="D1302" s="202"/>
    </row>
    <row r="1303" spans="1:4" ht="13.5" customHeight="1">
      <c r="A1303" s="215" t="s">
        <v>1362</v>
      </c>
      <c r="B1303" s="201">
        <f>B1304</f>
        <v>3220</v>
      </c>
      <c r="C1303" s="199">
        <f t="shared" si="20"/>
        <v>3220</v>
      </c>
      <c r="D1303" s="202">
        <f>D1304</f>
        <v>0</v>
      </c>
    </row>
    <row r="1304" spans="1:4" ht="13.5" customHeight="1">
      <c r="A1304" s="215" t="s">
        <v>1363</v>
      </c>
      <c r="B1304" s="201">
        <f>SUM(B1305:B1308)</f>
        <v>3220</v>
      </c>
      <c r="C1304" s="199">
        <f t="shared" si="20"/>
        <v>3220</v>
      </c>
      <c r="D1304" s="202">
        <f>SUM(D1305:D1308)</f>
        <v>0</v>
      </c>
    </row>
    <row r="1305" spans="1:4" ht="13.5" customHeight="1">
      <c r="A1305" s="207" t="s">
        <v>1364</v>
      </c>
      <c r="B1305" s="201">
        <v>3220</v>
      </c>
      <c r="C1305" s="199">
        <f t="shared" si="20"/>
        <v>3220</v>
      </c>
      <c r="D1305" s="202"/>
    </row>
    <row r="1306" spans="1:4" ht="13.5" customHeight="1">
      <c r="A1306" s="207" t="s">
        <v>1365</v>
      </c>
      <c r="B1306" s="201"/>
      <c r="C1306" s="199">
        <f t="shared" si="20"/>
        <v>0</v>
      </c>
      <c r="D1306" s="202"/>
    </row>
    <row r="1307" spans="1:4" ht="13.5" customHeight="1">
      <c r="A1307" s="207" t="s">
        <v>1366</v>
      </c>
      <c r="B1307" s="201"/>
      <c r="C1307" s="199">
        <f t="shared" si="20"/>
        <v>0</v>
      </c>
      <c r="D1307" s="202"/>
    </row>
    <row r="1308" spans="1:4" ht="13.5" customHeight="1">
      <c r="A1308" s="207" t="s">
        <v>1367</v>
      </c>
      <c r="B1308" s="201"/>
      <c r="C1308" s="199">
        <f t="shared" si="20"/>
        <v>0</v>
      </c>
      <c r="D1308" s="202"/>
    </row>
    <row r="1309" spans="1:4" ht="13.5" customHeight="1">
      <c r="A1309" s="215" t="s">
        <v>1368</v>
      </c>
      <c r="B1309" s="201">
        <f>SUM(B1310:B1311)</f>
        <v>5222</v>
      </c>
      <c r="C1309" s="199">
        <f t="shared" si="20"/>
        <v>5137</v>
      </c>
      <c r="D1309" s="202">
        <f>SUM(D1310:D1311)</f>
        <v>85</v>
      </c>
    </row>
    <row r="1310" spans="1:4" ht="13.5" customHeight="1">
      <c r="A1310" s="207" t="s">
        <v>1369</v>
      </c>
      <c r="B1310" s="201"/>
      <c r="C1310" s="199">
        <f t="shared" si="20"/>
        <v>0</v>
      </c>
      <c r="D1310" s="202"/>
    </row>
    <row r="1311" spans="1:4" ht="13.5" customHeight="1">
      <c r="A1311" s="207" t="s">
        <v>1370</v>
      </c>
      <c r="B1311" s="201">
        <f>16850-8000+1172-4500-1050+1800-1050</f>
        <v>5222</v>
      </c>
      <c r="C1311" s="199">
        <f t="shared" si="20"/>
        <v>5137</v>
      </c>
      <c r="D1311" s="202">
        <v>85</v>
      </c>
    </row>
    <row r="1312" spans="1:4" ht="13.5" customHeight="1">
      <c r="A1312" s="207"/>
      <c r="B1312" s="216"/>
      <c r="C1312" s="199">
        <f t="shared" si="20"/>
        <v>0</v>
      </c>
      <c r="D1312" s="202"/>
    </row>
    <row r="1313" spans="1:4" ht="13.5" customHeight="1">
      <c r="A1313" s="207"/>
      <c r="B1313" s="216"/>
      <c r="C1313" s="199">
        <f t="shared" si="20"/>
        <v>0</v>
      </c>
      <c r="D1313" s="202"/>
    </row>
    <row r="1314" spans="1:4" ht="13.5" customHeight="1">
      <c r="A1314" s="217" t="s">
        <v>1371</v>
      </c>
      <c r="B1314" s="218">
        <f>SUM(B6,B259,B262,B273,B392,B446,B502,B551,B662,B726,B799,B819,B952,B1023,B1097,B1124,B1139,B1149,B1230,B1248,B1302,B1303,B1309)</f>
        <v>397691</v>
      </c>
      <c r="C1314" s="199">
        <f>SUM(C6,C259,C262,C273,C392,C446,C502,C551,C662,C726,C799,C819,C952,C1023,C1097,C1124,C1139,C1149,C1230,C1248,C1302,C1303,C1309)</f>
        <v>298591</v>
      </c>
      <c r="D1314" s="199">
        <f>SUM(D6,D259,D262,D273,D392,D446,D502,D551,D662,D726,D799,D819,D952,D1023,D1097,D1124,D1139,D1149,D1230,D1248,D1302,D1303,D1309)</f>
        <v>99100</v>
      </c>
    </row>
    <row r="1315" spans="1:4" ht="13.5" customHeight="1">
      <c r="A1315" s="197" t="s">
        <v>1372</v>
      </c>
      <c r="B1315" s="216">
        <f>+B1317</f>
        <v>23858</v>
      </c>
      <c r="C1315" s="216">
        <f>+C1317</f>
        <v>23858</v>
      </c>
      <c r="D1315" s="216"/>
    </row>
    <row r="1316" spans="1:4" ht="13.5" customHeight="1">
      <c r="A1316" s="219" t="s">
        <v>1373</v>
      </c>
      <c r="B1316" s="202">
        <f>B1317</f>
        <v>23858</v>
      </c>
      <c r="C1316" s="202">
        <f>C1317</f>
        <v>23858</v>
      </c>
      <c r="D1316" s="202"/>
    </row>
    <row r="1317" spans="1:4" ht="13.5" customHeight="1">
      <c r="A1317" s="220" t="s">
        <v>1374</v>
      </c>
      <c r="B1317" s="216">
        <f>SUM(B1318:B1337)</f>
        <v>23858</v>
      </c>
      <c r="C1317" s="216">
        <f>SUM(C1318:C1337)</f>
        <v>23858</v>
      </c>
      <c r="D1317" s="216"/>
    </row>
    <row r="1318" spans="1:4" ht="13.5" customHeight="1">
      <c r="A1318" s="220" t="s">
        <v>1226</v>
      </c>
      <c r="B1318" s="216">
        <v>322</v>
      </c>
      <c r="C1318" s="216">
        <v>322</v>
      </c>
      <c r="D1318" s="202"/>
    </row>
    <row r="1319" spans="1:4" ht="13.5" customHeight="1">
      <c r="A1319" s="220" t="s">
        <v>1375</v>
      </c>
      <c r="B1319" s="216"/>
      <c r="C1319" s="216"/>
      <c r="D1319" s="202"/>
    </row>
    <row r="1320" spans="1:4" ht="13.5" customHeight="1">
      <c r="A1320" s="220" t="s">
        <v>1376</v>
      </c>
      <c r="B1320" s="216"/>
      <c r="C1320" s="216"/>
      <c r="D1320" s="202"/>
    </row>
    <row r="1321" spans="1:4" ht="13.5" customHeight="1">
      <c r="A1321" s="220" t="s">
        <v>1377</v>
      </c>
      <c r="B1321" s="216">
        <v>200</v>
      </c>
      <c r="C1321" s="216">
        <v>200</v>
      </c>
      <c r="D1321" s="202"/>
    </row>
    <row r="1322" spans="1:4" ht="13.5" customHeight="1">
      <c r="A1322" s="220" t="s">
        <v>1227</v>
      </c>
      <c r="B1322" s="216">
        <v>3136</v>
      </c>
      <c r="C1322" s="216">
        <v>3136</v>
      </c>
      <c r="D1322" s="202"/>
    </row>
    <row r="1323" spans="1:4" ht="13.5" customHeight="1">
      <c r="A1323" s="220" t="s">
        <v>1378</v>
      </c>
      <c r="B1323" s="216">
        <v>991</v>
      </c>
      <c r="C1323" s="216">
        <v>991</v>
      </c>
      <c r="D1323" s="202"/>
    </row>
    <row r="1324" spans="1:4" ht="13.5" customHeight="1">
      <c r="A1324" s="220" t="s">
        <v>1228</v>
      </c>
      <c r="B1324" s="216">
        <v>184</v>
      </c>
      <c r="C1324" s="216">
        <v>184</v>
      </c>
      <c r="D1324" s="202"/>
    </row>
    <row r="1325" spans="1:4" ht="13.5" customHeight="1">
      <c r="A1325" s="220" t="s">
        <v>1379</v>
      </c>
      <c r="B1325" s="216">
        <v>1427</v>
      </c>
      <c r="C1325" s="216">
        <v>1427</v>
      </c>
      <c r="D1325" s="202"/>
    </row>
    <row r="1326" spans="1:4" ht="13.5" customHeight="1">
      <c r="A1326" s="220" t="s">
        <v>1229</v>
      </c>
      <c r="B1326" s="216">
        <v>7186</v>
      </c>
      <c r="C1326" s="216">
        <v>7186</v>
      </c>
      <c r="D1326" s="202"/>
    </row>
    <row r="1327" spans="1:4" ht="13.5" customHeight="1">
      <c r="A1327" s="220" t="s">
        <v>1230</v>
      </c>
      <c r="B1327" s="216">
        <v>31</v>
      </c>
      <c r="C1327" s="216">
        <v>31</v>
      </c>
      <c r="D1327" s="202"/>
    </row>
    <row r="1328" spans="1:4" ht="13.5" customHeight="1">
      <c r="A1328" s="220" t="s">
        <v>1380</v>
      </c>
      <c r="B1328" s="216">
        <v>1803</v>
      </c>
      <c r="C1328" s="216">
        <v>1803</v>
      </c>
      <c r="D1328" s="202"/>
    </row>
    <row r="1329" spans="1:4" ht="13.5" customHeight="1">
      <c r="A1329" s="220" t="s">
        <v>1381</v>
      </c>
      <c r="B1329" s="216">
        <v>2838</v>
      </c>
      <c r="C1329" s="216">
        <v>2838</v>
      </c>
      <c r="D1329" s="202"/>
    </row>
    <row r="1330" spans="1:4" ht="13.5" customHeight="1">
      <c r="A1330" s="221" t="s">
        <v>1231</v>
      </c>
      <c r="B1330" s="216"/>
      <c r="C1330" s="216"/>
      <c r="D1330" s="202"/>
    </row>
    <row r="1331" spans="1:4" ht="13.5" customHeight="1">
      <c r="A1331" s="221" t="s">
        <v>1382</v>
      </c>
      <c r="B1331" s="216">
        <v>263</v>
      </c>
      <c r="C1331" s="216">
        <v>263</v>
      </c>
      <c r="D1331" s="202"/>
    </row>
    <row r="1332" spans="1:4" ht="13.5" customHeight="1">
      <c r="A1332" s="221" t="s">
        <v>1383</v>
      </c>
      <c r="B1332" s="216"/>
      <c r="C1332" s="216"/>
      <c r="D1332" s="202"/>
    </row>
    <row r="1333" spans="1:4" ht="13.5" customHeight="1">
      <c r="A1333" s="221" t="s">
        <v>1384</v>
      </c>
      <c r="B1333" s="216">
        <v>2</v>
      </c>
      <c r="C1333" s="216">
        <v>2</v>
      </c>
      <c r="D1333" s="202"/>
    </row>
    <row r="1334" spans="1:4" ht="13.5" customHeight="1">
      <c r="A1334" s="221" t="s">
        <v>1385</v>
      </c>
      <c r="B1334" s="216">
        <v>3000</v>
      </c>
      <c r="C1334" s="216">
        <v>3000</v>
      </c>
      <c r="D1334" s="202"/>
    </row>
    <row r="1335" spans="1:4" ht="13.5" customHeight="1">
      <c r="A1335" s="221" t="s">
        <v>1232</v>
      </c>
      <c r="B1335" s="216">
        <v>2475</v>
      </c>
      <c r="C1335" s="216">
        <v>2475</v>
      </c>
      <c r="D1335" s="202"/>
    </row>
    <row r="1336" spans="1:4" ht="13.5" customHeight="1">
      <c r="A1336" s="221" t="s">
        <v>1386</v>
      </c>
      <c r="B1336" s="216"/>
      <c r="C1336" s="216"/>
      <c r="D1336" s="202"/>
    </row>
    <row r="1337" spans="1:4" ht="13.5" customHeight="1">
      <c r="A1337" s="220" t="s">
        <v>1233</v>
      </c>
      <c r="B1337" s="216"/>
      <c r="C1337" s="216"/>
      <c r="D1337" s="202"/>
    </row>
    <row r="1338" spans="1:4" ht="13.5" customHeight="1">
      <c r="A1338" s="222"/>
      <c r="B1338" s="202"/>
      <c r="C1338" s="202"/>
      <c r="D1338" s="202"/>
    </row>
    <row r="1339" spans="1:4" ht="13.5" customHeight="1">
      <c r="A1339" s="223" t="s">
        <v>1387</v>
      </c>
      <c r="B1339" s="199">
        <f>+B1314+B1315</f>
        <v>421549</v>
      </c>
      <c r="C1339" s="199">
        <f>+C1314+C1315</f>
        <v>322449</v>
      </c>
      <c r="D1339" s="199">
        <f>+D1314+D1315</f>
        <v>99100</v>
      </c>
    </row>
    <row r="1348" ht="14.25"/>
    <row r="1349" ht="14.25"/>
    <row r="1350" ht="14.25"/>
  </sheetData>
  <sheetProtection/>
  <mergeCells count="5">
    <mergeCell ref="A1:D1"/>
    <mergeCell ref="B3:D3"/>
    <mergeCell ref="C4:D4"/>
    <mergeCell ref="A3:A5"/>
    <mergeCell ref="B4:B5"/>
  </mergeCells>
  <printOptions horizontalCentered="1"/>
  <pageMargins left="0.79" right="0.79" top="0.96" bottom="0.92" header="0.2" footer="0.74"/>
  <pageSetup firstPageNumber="30" useFirstPageNumber="1" horizontalDpi="600" verticalDpi="600" orientation="portrait" paperSize="9"/>
  <headerFooter scaleWithDoc="0" alignWithMargins="0">
    <oddFooter>&amp;C第 &amp;P 页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0">
      <selection activeCell="J8" sqref="J8"/>
    </sheetView>
  </sheetViews>
  <sheetFormatPr defaultColWidth="9.00390625" defaultRowHeight="14.25"/>
  <cols>
    <col min="1" max="1" width="28.375" style="109" customWidth="1"/>
    <col min="2" max="2" width="10.125" style="109" customWidth="1"/>
    <col min="3" max="3" width="27.875" style="109" customWidth="1"/>
    <col min="4" max="4" width="10.25390625" style="109" customWidth="1"/>
    <col min="5" max="16384" width="9.00390625" style="109" customWidth="1"/>
  </cols>
  <sheetData>
    <row r="1" spans="1:5" s="108" customFormat="1" ht="39" customHeight="1">
      <c r="A1" s="485" t="s">
        <v>1388</v>
      </c>
      <c r="B1" s="485"/>
      <c r="C1" s="485"/>
      <c r="D1" s="485"/>
      <c r="E1" s="110"/>
    </row>
    <row r="2" spans="1:4" ht="24" customHeight="1">
      <c r="A2" s="171"/>
      <c r="B2" s="172"/>
      <c r="C2" s="171"/>
      <c r="D2" s="173" t="s">
        <v>1</v>
      </c>
    </row>
    <row r="3" spans="1:4" ht="30.75" customHeight="1">
      <c r="A3" s="486" t="s">
        <v>297</v>
      </c>
      <c r="B3" s="486"/>
      <c r="C3" s="486" t="s">
        <v>298</v>
      </c>
      <c r="D3" s="486"/>
    </row>
    <row r="4" spans="1:4" ht="30.75" customHeight="1">
      <c r="A4" s="174" t="s">
        <v>299</v>
      </c>
      <c r="B4" s="175" t="s">
        <v>300</v>
      </c>
      <c r="C4" s="176" t="s">
        <v>299</v>
      </c>
      <c r="D4" s="175" t="s">
        <v>300</v>
      </c>
    </row>
    <row r="5" spans="1:4" ht="30.75" customHeight="1">
      <c r="A5" s="177" t="s">
        <v>301</v>
      </c>
      <c r="B5" s="178">
        <f>146561-4729</f>
        <v>141832</v>
      </c>
      <c r="C5" s="179" t="s">
        <v>1389</v>
      </c>
      <c r="D5" s="77">
        <v>397691</v>
      </c>
    </row>
    <row r="6" spans="1:4" ht="30.75" customHeight="1">
      <c r="A6" s="180" t="s">
        <v>303</v>
      </c>
      <c r="B6" s="181">
        <f>+B7+B12+B20</f>
        <v>183944</v>
      </c>
      <c r="C6" s="180" t="s">
        <v>304</v>
      </c>
      <c r="D6" s="181">
        <f>+D5-D7</f>
        <v>298591</v>
      </c>
    </row>
    <row r="7" spans="1:4" ht="30.75" customHeight="1">
      <c r="A7" s="180" t="s">
        <v>305</v>
      </c>
      <c r="B7" s="182">
        <f>SUM(B8:B11)</f>
        <v>17473</v>
      </c>
      <c r="C7" s="180" t="s">
        <v>306</v>
      </c>
      <c r="D7" s="181">
        <v>99100</v>
      </c>
    </row>
    <row r="8" spans="1:4" ht="30.75" customHeight="1">
      <c r="A8" s="180" t="s">
        <v>307</v>
      </c>
      <c r="B8" s="182">
        <v>10880</v>
      </c>
      <c r="C8" s="180" t="s">
        <v>308</v>
      </c>
      <c r="D8" s="178">
        <f>SUM(D9:D12)</f>
        <v>10770</v>
      </c>
    </row>
    <row r="9" spans="1:4" ht="30.75" customHeight="1">
      <c r="A9" s="180" t="s">
        <v>309</v>
      </c>
      <c r="B9" s="182">
        <v>115</v>
      </c>
      <c r="C9" s="180" t="s">
        <v>310</v>
      </c>
      <c r="D9" s="77">
        <v>1706</v>
      </c>
    </row>
    <row r="10" spans="1:4" ht="30.75" customHeight="1">
      <c r="A10" s="180" t="s">
        <v>311</v>
      </c>
      <c r="B10" s="182">
        <f>9037-2559</f>
        <v>6478</v>
      </c>
      <c r="C10" s="180" t="s">
        <v>312</v>
      </c>
      <c r="D10" s="77">
        <f>3158+5906</f>
        <v>9064</v>
      </c>
    </row>
    <row r="11" spans="1:4" ht="27.75" customHeight="1" hidden="1">
      <c r="A11" s="180" t="s">
        <v>313</v>
      </c>
      <c r="B11" s="182"/>
      <c r="C11" s="180" t="s">
        <v>314</v>
      </c>
      <c r="D11" s="130"/>
    </row>
    <row r="12" spans="1:4" ht="30.75" customHeight="1">
      <c r="A12" s="180" t="s">
        <v>315</v>
      </c>
      <c r="B12" s="178">
        <f>SUM(B13:B19)</f>
        <v>67371</v>
      </c>
      <c r="C12" s="180"/>
      <c r="D12" s="178"/>
    </row>
    <row r="13" spans="1:4" ht="30.75" customHeight="1">
      <c r="A13" s="180" t="s">
        <v>316</v>
      </c>
      <c r="B13" s="183">
        <v>-1859</v>
      </c>
      <c r="C13" s="184" t="s">
        <v>317</v>
      </c>
      <c r="D13" s="77">
        <f>23858</f>
        <v>23858</v>
      </c>
    </row>
    <row r="14" spans="1:4" ht="30.75" customHeight="1">
      <c r="A14" s="180" t="s">
        <v>318</v>
      </c>
      <c r="B14" s="182">
        <f>44294</f>
        <v>44294</v>
      </c>
      <c r="C14" s="185" t="s">
        <v>319</v>
      </c>
      <c r="D14" s="186"/>
    </row>
    <row r="15" spans="1:4" ht="30.75" customHeight="1">
      <c r="A15" s="180" t="s">
        <v>320</v>
      </c>
      <c r="B15" s="183">
        <v>11715</v>
      </c>
      <c r="C15" s="184" t="s">
        <v>321</v>
      </c>
      <c r="D15" s="181"/>
    </row>
    <row r="16" spans="1:4" ht="30.75" customHeight="1">
      <c r="A16" s="180" t="s">
        <v>322</v>
      </c>
      <c r="B16" s="187">
        <v>127</v>
      </c>
      <c r="C16" s="180"/>
      <c r="D16" s="181"/>
    </row>
    <row r="17" spans="1:4" ht="30.75" customHeight="1">
      <c r="A17" s="180" t="s">
        <v>324</v>
      </c>
      <c r="B17" s="186">
        <v>765</v>
      </c>
      <c r="C17" s="102"/>
      <c r="D17" s="186"/>
    </row>
    <row r="18" spans="1:4" ht="27.75" customHeight="1" hidden="1">
      <c r="A18" s="180" t="s">
        <v>325</v>
      </c>
      <c r="B18" s="178"/>
      <c r="C18" s="180"/>
      <c r="D18" s="178"/>
    </row>
    <row r="19" spans="1:4" ht="30.75" customHeight="1">
      <c r="A19" s="180" t="s">
        <v>326</v>
      </c>
      <c r="B19" s="181">
        <v>12329</v>
      </c>
      <c r="C19" s="185"/>
      <c r="D19" s="181"/>
    </row>
    <row r="20" spans="1:4" ht="30.75" customHeight="1">
      <c r="A20" s="180" t="s">
        <v>327</v>
      </c>
      <c r="B20" s="178">
        <v>99100</v>
      </c>
      <c r="C20" s="185"/>
      <c r="D20" s="178"/>
    </row>
    <row r="21" spans="1:4" ht="30.75" customHeight="1">
      <c r="A21" s="180" t="s">
        <v>328</v>
      </c>
      <c r="B21" s="188">
        <v>53930</v>
      </c>
      <c r="C21" s="185"/>
      <c r="D21" s="181"/>
    </row>
    <row r="22" spans="1:4" ht="30.75" customHeight="1">
      <c r="A22" s="180" t="s">
        <v>329</v>
      </c>
      <c r="B22" s="188">
        <v>52190</v>
      </c>
      <c r="C22" s="185"/>
      <c r="D22" s="181"/>
    </row>
    <row r="23" spans="1:4" ht="30.75" customHeight="1">
      <c r="A23" s="179" t="s">
        <v>330</v>
      </c>
      <c r="B23" s="188">
        <v>423</v>
      </c>
      <c r="C23" s="185"/>
      <c r="D23" s="181"/>
    </row>
    <row r="24" spans="1:6" ht="30.75" customHeight="1">
      <c r="A24" s="189" t="s">
        <v>331</v>
      </c>
      <c r="B24" s="181">
        <f>SUM(B5,B6,B21,B22,B23)</f>
        <v>432319</v>
      </c>
      <c r="C24" s="189" t="s">
        <v>332</v>
      </c>
      <c r="D24" s="181">
        <f>+D5+D8+D13</f>
        <v>432319</v>
      </c>
      <c r="F24" s="190"/>
    </row>
    <row r="25" ht="15.75">
      <c r="D25" s="190"/>
    </row>
  </sheetData>
  <sheetProtection/>
  <mergeCells count="3">
    <mergeCell ref="A1:D1"/>
    <mergeCell ref="A3:B3"/>
    <mergeCell ref="C3:D3"/>
  </mergeCells>
  <printOptions horizontalCentered="1"/>
  <pageMargins left="0.79" right="0.79" top="0.98" bottom="0.98" header="0.2" footer="0.79"/>
  <pageSetup firstPageNumber="63" useFirstPageNumber="1" horizontalDpi="600" verticalDpi="600" orientation="portrait" paperSize="9"/>
  <headerFooter scaleWithDoc="0" alignWithMargins="0">
    <oddFooter>&amp;C第 &amp;P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23"/>
  <sheetViews>
    <sheetView showZeros="0" zoomScalePageLayoutView="0" workbookViewId="0" topLeftCell="A7">
      <selection activeCell="B13" sqref="B13"/>
    </sheetView>
  </sheetViews>
  <sheetFormatPr defaultColWidth="9.00390625" defaultRowHeight="14.25"/>
  <cols>
    <col min="1" max="1" width="35.125" style="109" customWidth="1"/>
    <col min="2" max="2" width="14.375" style="109" customWidth="1"/>
    <col min="3" max="3" width="13.125" style="109" customWidth="1"/>
    <col min="4" max="4" width="13.00390625" style="109" customWidth="1"/>
    <col min="5" max="16384" width="9.00390625" style="109" customWidth="1"/>
  </cols>
  <sheetData>
    <row r="1" spans="1:5" s="108" customFormat="1" ht="48.75" customHeight="1">
      <c r="A1" s="134" t="s">
        <v>1391</v>
      </c>
      <c r="B1" s="135"/>
      <c r="C1" s="135"/>
      <c r="D1" s="135"/>
      <c r="E1" s="110"/>
    </row>
    <row r="2" spans="1:4" ht="18.75" customHeight="1">
      <c r="A2" s="111"/>
      <c r="B2" s="111"/>
      <c r="C2" s="111"/>
      <c r="D2" s="142" t="s">
        <v>1</v>
      </c>
    </row>
    <row r="3" spans="1:4" ht="25.5" customHeight="1">
      <c r="A3" s="121" t="s">
        <v>2</v>
      </c>
      <c r="B3" s="143" t="s">
        <v>1392</v>
      </c>
      <c r="C3" s="121" t="s">
        <v>1390</v>
      </c>
      <c r="D3" s="121" t="s">
        <v>287</v>
      </c>
    </row>
    <row r="4" spans="1:4" ht="28.5" customHeight="1">
      <c r="A4" s="123" t="s">
        <v>1393</v>
      </c>
      <c r="B4" s="144">
        <f>-6+158</f>
        <v>152</v>
      </c>
      <c r="C4" s="144"/>
      <c r="D4" s="145"/>
    </row>
    <row r="5" spans="1:4" ht="28.5" customHeight="1">
      <c r="A5" s="123" t="s">
        <v>1394</v>
      </c>
      <c r="B5" s="144">
        <f>1055-98-28</f>
        <v>929</v>
      </c>
      <c r="C5" s="144">
        <v>1135</v>
      </c>
      <c r="D5" s="145">
        <f aca="true" t="shared" si="0" ref="D5:D22">+(C5-B5)/B5*100</f>
        <v>22.17438105489774</v>
      </c>
    </row>
    <row r="6" spans="1:4" ht="28.5" customHeight="1">
      <c r="A6" s="123" t="s">
        <v>1395</v>
      </c>
      <c r="B6" s="144">
        <f>SUM(B7)</f>
        <v>0</v>
      </c>
      <c r="C6" s="144">
        <f>SUM(C7)</f>
        <v>3000</v>
      </c>
      <c r="D6" s="145"/>
    </row>
    <row r="7" spans="1:4" ht="28.5" customHeight="1">
      <c r="A7" s="126" t="s">
        <v>1396</v>
      </c>
      <c r="B7" s="144">
        <v>0</v>
      </c>
      <c r="C7" s="144">
        <v>3000</v>
      </c>
      <c r="D7" s="145"/>
    </row>
    <row r="8" spans="1:4" ht="28.5" customHeight="1">
      <c r="A8" s="123" t="s">
        <v>1397</v>
      </c>
      <c r="B8" s="144">
        <f>2240-131</f>
        <v>2109</v>
      </c>
      <c r="C8" s="144">
        <v>2420</v>
      </c>
      <c r="D8" s="145">
        <f t="shared" si="0"/>
        <v>14.746325272641062</v>
      </c>
    </row>
    <row r="9" spans="1:4" ht="28.5" customHeight="1">
      <c r="A9" s="123" t="s">
        <v>1398</v>
      </c>
      <c r="B9" s="144">
        <f>3677-161</f>
        <v>3516</v>
      </c>
      <c r="C9" s="144">
        <v>5660</v>
      </c>
      <c r="D9" s="145">
        <f t="shared" si="0"/>
        <v>60.978384527872585</v>
      </c>
    </row>
    <row r="10" spans="1:4" ht="28.5" customHeight="1">
      <c r="A10" s="123" t="s">
        <v>1399</v>
      </c>
      <c r="B10" s="144">
        <f>1502-217</f>
        <v>1285</v>
      </c>
      <c r="C10" s="144">
        <v>1420</v>
      </c>
      <c r="D10" s="145">
        <f t="shared" si="0"/>
        <v>10.505836575875486</v>
      </c>
    </row>
    <row r="11" spans="1:4" ht="28.5" customHeight="1">
      <c r="A11" s="123" t="s">
        <v>1400</v>
      </c>
      <c r="B11" s="144">
        <f>SUM(B12:B15)</f>
        <v>343210</v>
      </c>
      <c r="C11" s="144">
        <f>SUM(C12:C15)</f>
        <v>285431</v>
      </c>
      <c r="D11" s="145">
        <f t="shared" si="0"/>
        <v>-16.834882433495526</v>
      </c>
    </row>
    <row r="12" spans="1:4" ht="28.5" customHeight="1">
      <c r="A12" s="126" t="s">
        <v>1401</v>
      </c>
      <c r="B12" s="144">
        <f>7874+186846+1000</f>
        <v>195720</v>
      </c>
      <c r="C12" s="144">
        <v>207960</v>
      </c>
      <c r="D12" s="145">
        <f t="shared" si="0"/>
        <v>6.253832004904966</v>
      </c>
    </row>
    <row r="13" spans="1:4" ht="28.5" customHeight="1">
      <c r="A13" s="126" t="s">
        <v>1402</v>
      </c>
      <c r="B13" s="144">
        <v>400</v>
      </c>
      <c r="C13" s="144">
        <v>400</v>
      </c>
      <c r="D13" s="145">
        <f t="shared" si="0"/>
        <v>0</v>
      </c>
    </row>
    <row r="14" spans="1:4" ht="28.5" customHeight="1">
      <c r="A14" s="126" t="s">
        <v>1403</v>
      </c>
      <c r="B14" s="144">
        <v>110000</v>
      </c>
      <c r="C14" s="144">
        <v>20041</v>
      </c>
      <c r="D14" s="145">
        <f t="shared" si="0"/>
        <v>-81.78090909090909</v>
      </c>
    </row>
    <row r="15" spans="1:4" ht="28.5" customHeight="1">
      <c r="A15" s="126" t="s">
        <v>1404</v>
      </c>
      <c r="B15" s="144">
        <v>37090</v>
      </c>
      <c r="C15" s="144">
        <v>57030</v>
      </c>
      <c r="D15" s="145">
        <f t="shared" si="0"/>
        <v>53.761121596117555</v>
      </c>
    </row>
    <row r="16" spans="1:4" ht="28.5" customHeight="1">
      <c r="A16" s="123" t="s">
        <v>1405</v>
      </c>
      <c r="B16" s="144">
        <v>100</v>
      </c>
      <c r="C16" s="144">
        <v>100</v>
      </c>
      <c r="D16" s="145">
        <f t="shared" si="0"/>
        <v>0</v>
      </c>
    </row>
    <row r="17" spans="1:4" ht="28.5" customHeight="1">
      <c r="A17" s="123" t="s">
        <v>1406</v>
      </c>
      <c r="B17" s="144">
        <f>2084+3470</f>
        <v>5554</v>
      </c>
      <c r="C17" s="144">
        <v>3720</v>
      </c>
      <c r="D17" s="145">
        <f t="shared" si="0"/>
        <v>-33.02124594886568</v>
      </c>
    </row>
    <row r="18" spans="1:4" ht="28.5" customHeight="1">
      <c r="A18" s="123" t="s">
        <v>1407</v>
      </c>
      <c r="B18" s="144">
        <v>61</v>
      </c>
      <c r="C18" s="144">
        <v>50</v>
      </c>
      <c r="D18" s="145">
        <f t="shared" si="0"/>
        <v>-18.0327868852459</v>
      </c>
    </row>
    <row r="19" spans="1:4" ht="28.5" customHeight="1">
      <c r="A19" s="123" t="s">
        <v>1408</v>
      </c>
      <c r="B19" s="144">
        <v>10</v>
      </c>
      <c r="C19" s="144">
        <v>38</v>
      </c>
      <c r="D19" s="145">
        <f t="shared" si="0"/>
        <v>280</v>
      </c>
    </row>
    <row r="20" spans="1:4" ht="28.5" customHeight="1">
      <c r="A20" s="127" t="s">
        <v>1409</v>
      </c>
      <c r="B20" s="144">
        <f>4350-1025</f>
        <v>3325</v>
      </c>
      <c r="C20" s="144">
        <v>3750</v>
      </c>
      <c r="D20" s="145">
        <f t="shared" si="0"/>
        <v>12.781954887218044</v>
      </c>
    </row>
    <row r="21" spans="1:4" ht="28.5" customHeight="1">
      <c r="A21" s="123" t="s">
        <v>1410</v>
      </c>
      <c r="B21" s="144">
        <f>2513-420</f>
        <v>2093</v>
      </c>
      <c r="C21" s="144">
        <v>870</v>
      </c>
      <c r="D21" s="145">
        <f t="shared" si="0"/>
        <v>-58.43287147634973</v>
      </c>
    </row>
    <row r="22" spans="1:4" ht="28.5" customHeight="1">
      <c r="A22" s="128" t="s">
        <v>103</v>
      </c>
      <c r="B22" s="136">
        <f>B4+B5+B6+B8+B9+B10+B11+B16+B17+B18+B19+B20+B21</f>
        <v>362344</v>
      </c>
      <c r="C22" s="136">
        <f>C4+C5+C6+C8+C9+C10+C11+C16+C17+C18+C19+C20+C21</f>
        <v>307594</v>
      </c>
      <c r="D22" s="145">
        <f t="shared" si="0"/>
        <v>-15.109950765018876</v>
      </c>
    </row>
    <row r="23" spans="1:4" ht="45" customHeight="1">
      <c r="A23" s="490" t="s">
        <v>1411</v>
      </c>
      <c r="B23" s="490"/>
      <c r="C23" s="490"/>
      <c r="D23" s="490"/>
    </row>
  </sheetData>
  <sheetProtection/>
  <mergeCells count="1">
    <mergeCell ref="A23:D23"/>
  </mergeCells>
  <printOptions horizontalCentered="1"/>
  <pageMargins left="0.79" right="0.79" top="0.98" bottom="0.98" header="0.2" footer="0.79"/>
  <pageSetup firstPageNumber="68" useFirstPageNumber="1" horizontalDpi="600" verticalDpi="600" orientation="portrait" paperSize="9"/>
  <headerFooter scaleWithDoc="0" alignWithMargins="0">
    <oddFooter>&amp;C第 &amp;P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showZeros="0" zoomScale="160" zoomScaleNormal="160" zoomScalePageLayoutView="0" workbookViewId="0" topLeftCell="A1">
      <selection activeCell="E14" sqref="E14"/>
    </sheetView>
  </sheetViews>
  <sheetFormatPr defaultColWidth="9.00390625" defaultRowHeight="14.25"/>
  <cols>
    <col min="1" max="1" width="34.50390625" style="109" customWidth="1"/>
    <col min="2" max="2" width="16.50390625" style="109" customWidth="1"/>
    <col min="3" max="3" width="13.125" style="109" customWidth="1"/>
    <col min="4" max="4" width="12.875" style="109" customWidth="1"/>
    <col min="5" max="16384" width="9.00390625" style="109" customWidth="1"/>
  </cols>
  <sheetData>
    <row r="1" spans="1:5" s="108" customFormat="1" ht="30" customHeight="1">
      <c r="A1" s="456" t="s">
        <v>1412</v>
      </c>
      <c r="B1" s="456"/>
      <c r="C1" s="456"/>
      <c r="D1" s="456"/>
      <c r="E1" s="110"/>
    </row>
    <row r="2" spans="1:4" ht="21.75" customHeight="1">
      <c r="A2" s="111"/>
      <c r="B2" s="112"/>
      <c r="C2" s="112"/>
      <c r="D2" s="113" t="s">
        <v>1</v>
      </c>
    </row>
    <row r="3" spans="1:4" ht="48.75" customHeight="1">
      <c r="A3" s="77" t="s">
        <v>284</v>
      </c>
      <c r="B3" s="77" t="s">
        <v>1413</v>
      </c>
      <c r="C3" s="77" t="s">
        <v>1390</v>
      </c>
      <c r="D3" s="77" t="s">
        <v>287</v>
      </c>
    </row>
    <row r="4" spans="1:4" ht="16.5" customHeight="1">
      <c r="A4" s="114" t="s">
        <v>128</v>
      </c>
      <c r="B4" s="124">
        <f>+B5</f>
        <v>319</v>
      </c>
      <c r="C4" s="124">
        <f>+C5</f>
        <v>300</v>
      </c>
      <c r="D4" s="131">
        <f>+(C4-B4)/B4*100</f>
        <v>-5.956112852664576</v>
      </c>
    </row>
    <row r="5" spans="1:4" ht="16.5" customHeight="1">
      <c r="A5" s="132" t="s">
        <v>1414</v>
      </c>
      <c r="B5" s="124">
        <f>SUM(B6:B8)</f>
        <v>319</v>
      </c>
      <c r="C5" s="124">
        <f>SUM(C6:C8)</f>
        <v>300</v>
      </c>
      <c r="D5" s="131">
        <f aca="true" t="shared" si="0" ref="D5:D68">+(C5-B5)/B5*100</f>
        <v>-5.956112852664576</v>
      </c>
    </row>
    <row r="6" spans="1:4" ht="15.75" hidden="1">
      <c r="A6" s="132" t="s">
        <v>1415</v>
      </c>
      <c r="B6" s="124">
        <v>8</v>
      </c>
      <c r="C6" s="124"/>
      <c r="D6" s="131">
        <f t="shared" si="0"/>
        <v>-100</v>
      </c>
    </row>
    <row r="7" spans="1:4" ht="15.75" hidden="1">
      <c r="A7" s="132" t="s">
        <v>1416</v>
      </c>
      <c r="B7" s="124">
        <v>11</v>
      </c>
      <c r="C7" s="124"/>
      <c r="D7" s="131">
        <f t="shared" si="0"/>
        <v>-100</v>
      </c>
    </row>
    <row r="8" spans="1:4" ht="15.75" hidden="1">
      <c r="A8" s="132" t="s">
        <v>1417</v>
      </c>
      <c r="B8" s="124">
        <v>300</v>
      </c>
      <c r="C8" s="124">
        <v>300</v>
      </c>
      <c r="D8" s="131">
        <f t="shared" si="0"/>
        <v>0</v>
      </c>
    </row>
    <row r="9" spans="1:4" ht="16.5" customHeight="1">
      <c r="A9" s="114" t="s">
        <v>129</v>
      </c>
      <c r="B9" s="124">
        <f>+B10+B14</f>
        <v>13424</v>
      </c>
      <c r="C9" s="124">
        <f>+C10+C14</f>
        <v>2954</v>
      </c>
      <c r="D9" s="131">
        <f t="shared" si="0"/>
        <v>-77.99463647199046</v>
      </c>
    </row>
    <row r="10" spans="1:4" ht="16.5" customHeight="1">
      <c r="A10" s="132" t="s">
        <v>1418</v>
      </c>
      <c r="B10" s="124">
        <f>SUM(B11:B13)</f>
        <v>13308</v>
      </c>
      <c r="C10" s="124">
        <f>SUM(C11:C13)</f>
        <v>2845</v>
      </c>
      <c r="D10" s="131">
        <f t="shared" si="0"/>
        <v>-78.62188157499249</v>
      </c>
    </row>
    <row r="11" spans="1:4" ht="15.75" hidden="1">
      <c r="A11" s="132" t="s">
        <v>1419</v>
      </c>
      <c r="B11" s="124">
        <v>8499</v>
      </c>
      <c r="C11" s="124">
        <v>1468</v>
      </c>
      <c r="D11" s="131">
        <f t="shared" si="0"/>
        <v>-82.72737969172844</v>
      </c>
    </row>
    <row r="12" spans="1:4" ht="15.75" hidden="1">
      <c r="A12" s="132" t="s">
        <v>1420</v>
      </c>
      <c r="B12" s="124">
        <v>4786</v>
      </c>
      <c r="C12" s="124">
        <v>1377</v>
      </c>
      <c r="D12" s="131">
        <f t="shared" si="0"/>
        <v>-71.22858336815713</v>
      </c>
    </row>
    <row r="13" spans="1:4" ht="15.75" hidden="1">
      <c r="A13" s="132" t="s">
        <v>1421</v>
      </c>
      <c r="B13" s="124">
        <v>23</v>
      </c>
      <c r="C13" s="124"/>
      <c r="D13" s="131">
        <f t="shared" si="0"/>
        <v>-100</v>
      </c>
    </row>
    <row r="14" spans="1:4" ht="16.5" customHeight="1">
      <c r="A14" s="132" t="s">
        <v>1422</v>
      </c>
      <c r="B14" s="124">
        <f>SUM(B15:B17)</f>
        <v>116</v>
      </c>
      <c r="C14" s="124">
        <f>SUM(C15:C17)</f>
        <v>109</v>
      </c>
      <c r="D14" s="131">
        <f t="shared" si="0"/>
        <v>-6.0344827586206895</v>
      </c>
    </row>
    <row r="15" spans="1:4" ht="15.75" hidden="1">
      <c r="A15" s="132" t="s">
        <v>1419</v>
      </c>
      <c r="B15" s="124">
        <v>16</v>
      </c>
      <c r="C15" s="124">
        <v>9</v>
      </c>
      <c r="D15" s="131">
        <f t="shared" si="0"/>
        <v>-43.75</v>
      </c>
    </row>
    <row r="16" spans="1:4" ht="15.75" hidden="1">
      <c r="A16" s="132" t="s">
        <v>1420</v>
      </c>
      <c r="B16" s="124">
        <v>50</v>
      </c>
      <c r="C16" s="124">
        <v>50</v>
      </c>
      <c r="D16" s="131">
        <f t="shared" si="0"/>
        <v>0</v>
      </c>
    </row>
    <row r="17" spans="1:4" ht="15.75" hidden="1">
      <c r="A17" s="117" t="s">
        <v>1423</v>
      </c>
      <c r="B17" s="124">
        <v>50</v>
      </c>
      <c r="C17" s="124">
        <v>50</v>
      </c>
      <c r="D17" s="131">
        <f t="shared" si="0"/>
        <v>0</v>
      </c>
    </row>
    <row r="18" spans="1:4" ht="16.5" customHeight="1">
      <c r="A18" s="114" t="s">
        <v>1424</v>
      </c>
      <c r="B18" s="124">
        <f>B19+B25+B37+B39+B43+B44+B48+B50+1000</f>
        <v>375666</v>
      </c>
      <c r="C18" s="124">
        <f>C19+C25+C37+C39+C43+C44+C48+C50</f>
        <v>315042</v>
      </c>
      <c r="D18" s="131">
        <f t="shared" si="0"/>
        <v>-16.13773937487023</v>
      </c>
    </row>
    <row r="19" spans="1:4" ht="15.75" hidden="1">
      <c r="A19" s="116" t="s">
        <v>1425</v>
      </c>
      <c r="B19" s="124">
        <f>SUM(B20:B24)</f>
        <v>0</v>
      </c>
      <c r="C19" s="124">
        <f>SUM(C20:C24)</f>
        <v>0</v>
      </c>
      <c r="D19" s="131" t="e">
        <f t="shared" si="0"/>
        <v>#DIV/0!</v>
      </c>
    </row>
    <row r="20" spans="1:4" ht="15.75" hidden="1">
      <c r="A20" s="117" t="s">
        <v>1426</v>
      </c>
      <c r="B20" s="124"/>
      <c r="C20" s="124"/>
      <c r="D20" s="131" t="e">
        <f t="shared" si="0"/>
        <v>#DIV/0!</v>
      </c>
    </row>
    <row r="21" spans="1:4" ht="15.75" hidden="1">
      <c r="A21" s="117" t="s">
        <v>1427</v>
      </c>
      <c r="B21" s="124"/>
      <c r="C21" s="124"/>
      <c r="D21" s="131" t="e">
        <f t="shared" si="0"/>
        <v>#DIV/0!</v>
      </c>
    </row>
    <row r="22" spans="1:4" ht="15.75" hidden="1">
      <c r="A22" s="133" t="s">
        <v>1428</v>
      </c>
      <c r="B22" s="124"/>
      <c r="C22" s="124"/>
      <c r="D22" s="131" t="e">
        <f t="shared" si="0"/>
        <v>#DIV/0!</v>
      </c>
    </row>
    <row r="23" spans="1:4" ht="15.75" hidden="1">
      <c r="A23" s="133" t="s">
        <v>1429</v>
      </c>
      <c r="B23" s="124"/>
      <c r="C23" s="124"/>
      <c r="D23" s="131" t="e">
        <f t="shared" si="0"/>
        <v>#DIV/0!</v>
      </c>
    </row>
    <row r="24" spans="1:4" ht="15.75" hidden="1">
      <c r="A24" s="117" t="s">
        <v>1430</v>
      </c>
      <c r="B24" s="124"/>
      <c r="C24" s="124"/>
      <c r="D24" s="131" t="e">
        <f t="shared" si="0"/>
        <v>#DIV/0!</v>
      </c>
    </row>
    <row r="25" spans="1:4" ht="16.5" customHeight="1">
      <c r="A25" s="116" t="s">
        <v>1431</v>
      </c>
      <c r="B25" s="124">
        <f>SUM(B26:B36)</f>
        <v>343297</v>
      </c>
      <c r="C25" s="124">
        <f>SUM(C26:C36)</f>
        <v>287966</v>
      </c>
      <c r="D25" s="131">
        <f t="shared" si="0"/>
        <v>-16.117530884336304</v>
      </c>
    </row>
    <row r="26" spans="1:4" ht="15.75" hidden="1">
      <c r="A26" s="117" t="s">
        <v>1432</v>
      </c>
      <c r="B26" s="124">
        <f>106427-3604+1913</f>
        <v>104736</v>
      </c>
      <c r="C26" s="124">
        <f>4217+137257</f>
        <v>141474</v>
      </c>
      <c r="D26" s="131">
        <f t="shared" si="0"/>
        <v>35.076764436296976</v>
      </c>
    </row>
    <row r="27" spans="1:4" ht="15.75" hidden="1">
      <c r="A27" s="117" t="s">
        <v>1433</v>
      </c>
      <c r="B27" s="124">
        <v>29591</v>
      </c>
      <c r="C27" s="124">
        <v>26980</v>
      </c>
      <c r="D27" s="131">
        <f t="shared" si="0"/>
        <v>-8.823628806055895</v>
      </c>
    </row>
    <row r="28" spans="1:4" ht="15.75" hidden="1">
      <c r="A28" s="117" t="s">
        <v>1434</v>
      </c>
      <c r="B28" s="124">
        <v>166772</v>
      </c>
      <c r="C28" s="124">
        <v>93662</v>
      </c>
      <c r="D28" s="131">
        <f t="shared" si="0"/>
        <v>-43.838294198066826</v>
      </c>
    </row>
    <row r="29" spans="1:4" ht="15.75" hidden="1">
      <c r="A29" s="117" t="s">
        <v>1435</v>
      </c>
      <c r="B29" s="124">
        <v>5650</v>
      </c>
      <c r="C29" s="124">
        <v>5150</v>
      </c>
      <c r="D29" s="131">
        <f t="shared" si="0"/>
        <v>-8.849557522123893</v>
      </c>
    </row>
    <row r="30" spans="1:4" ht="15.75" hidden="1">
      <c r="A30" s="117" t="s">
        <v>1436</v>
      </c>
      <c r="B30" s="124">
        <v>4331</v>
      </c>
      <c r="C30" s="124">
        <v>2342</v>
      </c>
      <c r="D30" s="131">
        <f t="shared" si="0"/>
        <v>-45.92472870006927</v>
      </c>
    </row>
    <row r="31" spans="1:4" ht="15.75" hidden="1">
      <c r="A31" s="117" t="s">
        <v>1437</v>
      </c>
      <c r="B31" s="124">
        <f>1953+25</f>
        <v>1978</v>
      </c>
      <c r="C31" s="124">
        <v>1672</v>
      </c>
      <c r="D31" s="131">
        <f t="shared" si="0"/>
        <v>-15.470171890798786</v>
      </c>
    </row>
    <row r="32" spans="1:4" ht="15.75" hidden="1">
      <c r="A32" s="117" t="s">
        <v>1427</v>
      </c>
      <c r="B32" s="124">
        <v>2531</v>
      </c>
      <c r="C32" s="124">
        <v>2050</v>
      </c>
      <c r="D32" s="131">
        <f t="shared" si="0"/>
        <v>-19.004346108257604</v>
      </c>
    </row>
    <row r="33" spans="1:4" ht="15.75" hidden="1">
      <c r="A33" s="117" t="s">
        <v>1438</v>
      </c>
      <c r="B33" s="124">
        <v>14300</v>
      </c>
      <c r="C33" s="124"/>
      <c r="D33" s="131">
        <f t="shared" si="0"/>
        <v>-100</v>
      </c>
    </row>
    <row r="34" spans="1:4" ht="15.75" hidden="1">
      <c r="A34" s="117" t="s">
        <v>1439</v>
      </c>
      <c r="B34" s="124">
        <v>1196</v>
      </c>
      <c r="C34" s="124">
        <v>810</v>
      </c>
      <c r="D34" s="131">
        <f t="shared" si="0"/>
        <v>-32.274247491638796</v>
      </c>
    </row>
    <row r="35" spans="1:4" ht="15.75" hidden="1">
      <c r="A35" s="133" t="s">
        <v>1428</v>
      </c>
      <c r="B35" s="124">
        <v>2644</v>
      </c>
      <c r="C35" s="124">
        <v>2761</v>
      </c>
      <c r="D35" s="131">
        <f t="shared" si="0"/>
        <v>4.425113464447807</v>
      </c>
    </row>
    <row r="36" spans="1:4" ht="15.75" hidden="1">
      <c r="A36" s="117" t="s">
        <v>1440</v>
      </c>
      <c r="B36" s="124">
        <v>9568</v>
      </c>
      <c r="C36" s="124">
        <v>11065</v>
      </c>
      <c r="D36" s="131">
        <f t="shared" si="0"/>
        <v>15.645903010033447</v>
      </c>
    </row>
    <row r="37" spans="1:4" ht="16.5" customHeight="1">
      <c r="A37" s="116" t="s">
        <v>1441</v>
      </c>
      <c r="B37" s="124">
        <f>SUM(B38)</f>
        <v>2240</v>
      </c>
      <c r="C37" s="124">
        <f>SUM(C38)</f>
        <v>2420</v>
      </c>
      <c r="D37" s="131">
        <f t="shared" si="0"/>
        <v>8.035714285714286</v>
      </c>
    </row>
    <row r="38" spans="1:4" ht="15.75" hidden="1">
      <c r="A38" s="117" t="s">
        <v>1442</v>
      </c>
      <c r="B38" s="124">
        <f>2419-179</f>
        <v>2240</v>
      </c>
      <c r="C38" s="124">
        <v>2420</v>
      </c>
      <c r="D38" s="131">
        <f t="shared" si="0"/>
        <v>8.035714285714286</v>
      </c>
    </row>
    <row r="39" spans="1:4" ht="16.5" customHeight="1">
      <c r="A39" s="116" t="s">
        <v>1443</v>
      </c>
      <c r="B39" s="124">
        <f>SUM(B40:B42)</f>
        <v>14161</v>
      </c>
      <c r="C39" s="124">
        <f>SUM(C40:C42)</f>
        <v>13710</v>
      </c>
      <c r="D39" s="131">
        <f t="shared" si="0"/>
        <v>-3.184803333097945</v>
      </c>
    </row>
    <row r="40" spans="1:4" ht="15.75" hidden="1">
      <c r="A40" s="117" t="s">
        <v>1444</v>
      </c>
      <c r="B40" s="124">
        <v>7051</v>
      </c>
      <c r="C40" s="124">
        <v>5700</v>
      </c>
      <c r="D40" s="131">
        <f t="shared" si="0"/>
        <v>-19.160402779747553</v>
      </c>
    </row>
    <row r="41" spans="1:4" ht="15.75" hidden="1">
      <c r="A41" s="117" t="s">
        <v>1445</v>
      </c>
      <c r="B41" s="124">
        <v>1900</v>
      </c>
      <c r="C41" s="124">
        <v>2000</v>
      </c>
      <c r="D41" s="131">
        <f t="shared" si="0"/>
        <v>5.263157894736842</v>
      </c>
    </row>
    <row r="42" spans="1:4" ht="15.75" hidden="1">
      <c r="A42" s="117" t="s">
        <v>1446</v>
      </c>
      <c r="B42" s="124">
        <f>5304-94</f>
        <v>5210</v>
      </c>
      <c r="C42" s="124">
        <v>6010</v>
      </c>
      <c r="D42" s="131">
        <f t="shared" si="0"/>
        <v>15.355086372360843</v>
      </c>
    </row>
    <row r="43" spans="1:4" ht="16.5" customHeight="1">
      <c r="A43" s="116" t="s">
        <v>1447</v>
      </c>
      <c r="B43" s="124">
        <f>1412-232</f>
        <v>1180</v>
      </c>
      <c r="C43" s="124">
        <v>1193</v>
      </c>
      <c r="D43" s="131">
        <f t="shared" si="0"/>
        <v>1.1016949152542372</v>
      </c>
    </row>
    <row r="44" spans="1:4" ht="16.5" customHeight="1">
      <c r="A44" s="116" t="s">
        <v>1448</v>
      </c>
      <c r="B44" s="124">
        <f>SUM(B45:B47)</f>
        <v>5826</v>
      </c>
      <c r="C44" s="124">
        <f>SUM(C45:C47)</f>
        <v>2283</v>
      </c>
      <c r="D44" s="131">
        <f t="shared" si="0"/>
        <v>-60.81359423274974</v>
      </c>
    </row>
    <row r="45" spans="1:4" ht="15.75" hidden="1">
      <c r="A45" s="117" t="s">
        <v>1449</v>
      </c>
      <c r="B45" s="124">
        <v>1175</v>
      </c>
      <c r="C45" s="124"/>
      <c r="D45" s="131">
        <f t="shared" si="0"/>
        <v>-100</v>
      </c>
    </row>
    <row r="46" spans="1:4" ht="15.75" hidden="1">
      <c r="A46" s="117" t="s">
        <v>1450</v>
      </c>
      <c r="B46" s="124">
        <v>2139</v>
      </c>
      <c r="C46" s="124">
        <v>1268</v>
      </c>
      <c r="D46" s="131">
        <f t="shared" si="0"/>
        <v>-40.719962599345486</v>
      </c>
    </row>
    <row r="47" spans="1:4" ht="15.75" hidden="1">
      <c r="A47" s="117" t="s">
        <v>1451</v>
      </c>
      <c r="B47" s="124">
        <v>2512</v>
      </c>
      <c r="C47" s="124">
        <v>1015</v>
      </c>
      <c r="D47" s="131">
        <f t="shared" si="0"/>
        <v>-59.59394904458599</v>
      </c>
    </row>
    <row r="48" spans="1:4" ht="16.5" customHeight="1">
      <c r="A48" s="116" t="s">
        <v>1452</v>
      </c>
      <c r="B48" s="124">
        <f aca="true" t="shared" si="1" ref="B48:B53">SUM(B49)</f>
        <v>3612</v>
      </c>
      <c r="C48" s="124">
        <f aca="true" t="shared" si="2" ref="C48:C53">SUM(C49)</f>
        <v>3720</v>
      </c>
      <c r="D48" s="131">
        <f t="shared" si="0"/>
        <v>2.990033222591362</v>
      </c>
    </row>
    <row r="49" spans="1:4" ht="15.75" hidden="1">
      <c r="A49" s="133" t="s">
        <v>1453</v>
      </c>
      <c r="B49" s="124">
        <v>3612</v>
      </c>
      <c r="C49" s="124">
        <v>3720</v>
      </c>
      <c r="D49" s="131">
        <f t="shared" si="0"/>
        <v>2.990033222591362</v>
      </c>
    </row>
    <row r="50" spans="1:4" ht="16.5" customHeight="1">
      <c r="A50" s="117" t="s">
        <v>1454</v>
      </c>
      <c r="B50" s="124">
        <f t="shared" si="1"/>
        <v>4350</v>
      </c>
      <c r="C50" s="124">
        <f t="shared" si="2"/>
        <v>3750</v>
      </c>
      <c r="D50" s="131">
        <f t="shared" si="0"/>
        <v>-13.793103448275861</v>
      </c>
    </row>
    <row r="51" spans="1:4" ht="15.75" hidden="1">
      <c r="A51" s="117" t="s">
        <v>1455</v>
      </c>
      <c r="B51" s="124">
        <v>4350</v>
      </c>
      <c r="C51" s="124">
        <v>3750</v>
      </c>
      <c r="D51" s="131">
        <f t="shared" si="0"/>
        <v>-13.793103448275861</v>
      </c>
    </row>
    <row r="52" spans="1:4" ht="16.5" customHeight="1">
      <c r="A52" s="114" t="s">
        <v>1456</v>
      </c>
      <c r="B52" s="124">
        <f>+B53+B55+B57+B59</f>
        <v>503</v>
      </c>
      <c r="C52" s="124">
        <f>+C53+C55+C57+C59</f>
        <v>503</v>
      </c>
      <c r="D52" s="131">
        <f t="shared" si="0"/>
        <v>0</v>
      </c>
    </row>
    <row r="53" spans="1:4" ht="16.5" customHeight="1">
      <c r="A53" s="117" t="s">
        <v>1457</v>
      </c>
      <c r="B53" s="124">
        <f t="shared" si="1"/>
        <v>350</v>
      </c>
      <c r="C53" s="124">
        <f t="shared" si="2"/>
        <v>400</v>
      </c>
      <c r="D53" s="131">
        <f t="shared" si="0"/>
        <v>14.285714285714285</v>
      </c>
    </row>
    <row r="54" spans="1:4" ht="15.75" hidden="1">
      <c r="A54" s="141" t="s">
        <v>1458</v>
      </c>
      <c r="B54" s="124">
        <v>350</v>
      </c>
      <c r="C54" s="124">
        <v>400</v>
      </c>
      <c r="D54" s="131">
        <f t="shared" si="0"/>
        <v>14.285714285714285</v>
      </c>
    </row>
    <row r="55" spans="1:4" ht="16.5" customHeight="1">
      <c r="A55" s="117" t="s">
        <v>1459</v>
      </c>
      <c r="B55" s="124">
        <f>SUM(B56)</f>
        <v>118</v>
      </c>
      <c r="C55" s="124">
        <f>SUM(C56)</f>
        <v>30</v>
      </c>
      <c r="D55" s="131">
        <f t="shared" si="0"/>
        <v>-74.57627118644068</v>
      </c>
    </row>
    <row r="56" spans="1:4" ht="15.75" hidden="1">
      <c r="A56" s="117" t="s">
        <v>1420</v>
      </c>
      <c r="B56" s="124">
        <v>118</v>
      </c>
      <c r="C56" s="124">
        <v>30</v>
      </c>
      <c r="D56" s="131">
        <f t="shared" si="0"/>
        <v>-74.57627118644068</v>
      </c>
    </row>
    <row r="57" spans="1:4" ht="16.5" customHeight="1">
      <c r="A57" s="117" t="s">
        <v>1460</v>
      </c>
      <c r="B57" s="124">
        <f>SUM(B58)</f>
        <v>30</v>
      </c>
      <c r="C57" s="124">
        <f>SUM(C58)</f>
        <v>30</v>
      </c>
      <c r="D57" s="131">
        <f t="shared" si="0"/>
        <v>0</v>
      </c>
    </row>
    <row r="58" spans="1:4" ht="15.75" hidden="1">
      <c r="A58" s="117" t="s">
        <v>1461</v>
      </c>
      <c r="B58" s="124">
        <v>30</v>
      </c>
      <c r="C58" s="124">
        <v>30</v>
      </c>
      <c r="D58" s="131">
        <f t="shared" si="0"/>
        <v>0</v>
      </c>
    </row>
    <row r="59" spans="1:4" ht="16.5" customHeight="1">
      <c r="A59" s="117" t="s">
        <v>1462</v>
      </c>
      <c r="B59" s="124">
        <f>SUM(B60:B61)</f>
        <v>5</v>
      </c>
      <c r="C59" s="124">
        <f>SUM(C60:C61)</f>
        <v>43</v>
      </c>
      <c r="D59" s="131"/>
    </row>
    <row r="60" spans="1:4" ht="15.75" hidden="1">
      <c r="A60" s="117" t="s">
        <v>1463</v>
      </c>
      <c r="B60" s="124"/>
      <c r="C60" s="124">
        <v>10</v>
      </c>
      <c r="D60" s="131" t="e">
        <f t="shared" si="0"/>
        <v>#DIV/0!</v>
      </c>
    </row>
    <row r="61" spans="1:4" ht="15.75" hidden="1">
      <c r="A61" s="117" t="s">
        <v>1464</v>
      </c>
      <c r="B61" s="124">
        <v>5</v>
      </c>
      <c r="C61" s="124">
        <v>33</v>
      </c>
      <c r="D61" s="131">
        <f t="shared" si="0"/>
        <v>560</v>
      </c>
    </row>
    <row r="62" spans="1:4" ht="16.5" customHeight="1">
      <c r="A62" s="118" t="s">
        <v>1465</v>
      </c>
      <c r="B62" s="124">
        <f>+B63</f>
        <v>52</v>
      </c>
      <c r="C62" s="124">
        <f>+C63</f>
        <v>50</v>
      </c>
      <c r="D62" s="131">
        <f t="shared" si="0"/>
        <v>-3.8461538461538463</v>
      </c>
    </row>
    <row r="63" spans="1:4" ht="16.5" customHeight="1">
      <c r="A63" s="117" t="s">
        <v>1466</v>
      </c>
      <c r="B63" s="124">
        <f>SUM(B64)</f>
        <v>52</v>
      </c>
      <c r="C63" s="124">
        <f>SUM(C64)</f>
        <v>50</v>
      </c>
      <c r="D63" s="131">
        <f t="shared" si="0"/>
        <v>-3.8461538461538463</v>
      </c>
    </row>
    <row r="64" spans="1:4" ht="15.75" hidden="1">
      <c r="A64" s="117" t="s">
        <v>1467</v>
      </c>
      <c r="B64" s="124">
        <v>52</v>
      </c>
      <c r="C64" s="124">
        <v>50</v>
      </c>
      <c r="D64" s="131">
        <f t="shared" si="0"/>
        <v>-3.8461538461538463</v>
      </c>
    </row>
    <row r="65" spans="1:4" ht="16.5" customHeight="1">
      <c r="A65" s="118" t="s">
        <v>1468</v>
      </c>
      <c r="B65" s="124">
        <f>+B66+B68-34</f>
        <v>580</v>
      </c>
      <c r="C65" s="124">
        <f>+C66+C68</f>
        <v>1125</v>
      </c>
      <c r="D65" s="131">
        <f t="shared" si="0"/>
        <v>93.96551724137932</v>
      </c>
    </row>
    <row r="66" spans="1:4" ht="16.5" customHeight="1">
      <c r="A66" s="117" t="s">
        <v>1469</v>
      </c>
      <c r="B66" s="124">
        <f>SUM(B67)</f>
        <v>115</v>
      </c>
      <c r="C66" s="124"/>
      <c r="D66" s="131"/>
    </row>
    <row r="67" spans="1:4" ht="15.75" hidden="1">
      <c r="A67" s="117" t="s">
        <v>1470</v>
      </c>
      <c r="B67" s="124">
        <v>115</v>
      </c>
      <c r="C67" s="124">
        <v>30</v>
      </c>
      <c r="D67" s="131">
        <f t="shared" si="0"/>
        <v>-73.91304347826086</v>
      </c>
    </row>
    <row r="68" spans="1:4" ht="16.5" customHeight="1">
      <c r="A68" s="117" t="s">
        <v>1471</v>
      </c>
      <c r="B68" s="124">
        <f>SUM(B69:B70)</f>
        <v>499</v>
      </c>
      <c r="C68" s="124">
        <v>1125</v>
      </c>
      <c r="D68" s="131">
        <f t="shared" si="0"/>
        <v>125.45090180360721</v>
      </c>
    </row>
    <row r="69" spans="1:4" ht="15.75" hidden="1">
      <c r="A69" s="117" t="s">
        <v>1472</v>
      </c>
      <c r="B69" s="124">
        <v>66</v>
      </c>
      <c r="C69" s="124"/>
      <c r="D69" s="131">
        <f aca="true" t="shared" si="3" ref="D69:D86">+(C69-B69)/B69*100</f>
        <v>-100</v>
      </c>
    </row>
    <row r="70" spans="1:4" ht="15.75" hidden="1">
      <c r="A70" s="117" t="s">
        <v>1473</v>
      </c>
      <c r="B70" s="124">
        <f>451-18</f>
        <v>433</v>
      </c>
      <c r="C70" s="124">
        <v>1095</v>
      </c>
      <c r="D70" s="131">
        <f t="shared" si="3"/>
        <v>152.88683602771363</v>
      </c>
    </row>
    <row r="71" spans="1:4" ht="16.5" customHeight="1">
      <c r="A71" s="118" t="s">
        <v>1474</v>
      </c>
      <c r="B71" s="124">
        <f>+B72</f>
        <v>110</v>
      </c>
      <c r="C71" s="124">
        <f>+C72</f>
        <v>0</v>
      </c>
      <c r="D71" s="131"/>
    </row>
    <row r="72" spans="1:4" ht="16.5" customHeight="1">
      <c r="A72" s="117" t="s">
        <v>1475</v>
      </c>
      <c r="B72" s="124">
        <f>SUM(B73)</f>
        <v>110</v>
      </c>
      <c r="C72" s="124">
        <f>SUM(C73)</f>
        <v>0</v>
      </c>
      <c r="D72" s="131"/>
    </row>
    <row r="73" spans="1:4" ht="15.75" hidden="1">
      <c r="A73" s="117" t="s">
        <v>1476</v>
      </c>
      <c r="B73" s="124">
        <v>110</v>
      </c>
      <c r="C73" s="124"/>
      <c r="D73" s="131">
        <f t="shared" si="3"/>
        <v>-100</v>
      </c>
    </row>
    <row r="74" spans="1:4" ht="16.5" customHeight="1">
      <c r="A74" s="118" t="s">
        <v>1477</v>
      </c>
      <c r="B74" s="124">
        <f>+B75+B76+B79</f>
        <v>9646</v>
      </c>
      <c r="C74" s="124">
        <f>+C75+C76+C79</f>
        <v>4976</v>
      </c>
      <c r="D74" s="131">
        <f t="shared" si="3"/>
        <v>-48.41385030064275</v>
      </c>
    </row>
    <row r="75" spans="1:4" ht="16.5" customHeight="1">
      <c r="A75" s="117" t="s">
        <v>1478</v>
      </c>
      <c r="B75" s="124">
        <f>2936-658</f>
        <v>2278</v>
      </c>
      <c r="C75" s="124">
        <v>1509</v>
      </c>
      <c r="D75" s="131">
        <f t="shared" si="3"/>
        <v>-33.75768217734855</v>
      </c>
    </row>
    <row r="76" spans="1:4" ht="16.5" customHeight="1">
      <c r="A76" s="117" t="s">
        <v>1479</v>
      </c>
      <c r="B76" s="124">
        <f>SUM(B77:B78)</f>
        <v>6</v>
      </c>
      <c r="C76" s="124">
        <f>SUM(C77:C78)</f>
        <v>0</v>
      </c>
      <c r="D76" s="131"/>
    </row>
    <row r="77" spans="1:4" ht="15.75" hidden="1">
      <c r="A77" s="117" t="s">
        <v>1480</v>
      </c>
      <c r="B77" s="124">
        <v>3</v>
      </c>
      <c r="C77" s="124"/>
      <c r="D77" s="131">
        <f t="shared" si="3"/>
        <v>-100</v>
      </c>
    </row>
    <row r="78" spans="1:4" ht="15.75" hidden="1">
      <c r="A78" s="117" t="s">
        <v>1481</v>
      </c>
      <c r="B78" s="124">
        <v>3</v>
      </c>
      <c r="C78" s="124"/>
      <c r="D78" s="131">
        <f t="shared" si="3"/>
        <v>-100</v>
      </c>
    </row>
    <row r="79" spans="1:4" ht="16.5" customHeight="1">
      <c r="A79" s="117" t="s">
        <v>1482</v>
      </c>
      <c r="B79" s="124">
        <f>SUM(B80:B85)</f>
        <v>7362</v>
      </c>
      <c r="C79" s="124">
        <f>SUM(C80:C85)</f>
        <v>3467</v>
      </c>
      <c r="D79" s="131">
        <f t="shared" si="3"/>
        <v>-52.90681879923934</v>
      </c>
    </row>
    <row r="80" spans="1:4" ht="15.75" hidden="1">
      <c r="A80" s="133" t="s">
        <v>1483</v>
      </c>
      <c r="B80" s="124">
        <v>5777</v>
      </c>
      <c r="C80" s="124">
        <v>3007</v>
      </c>
      <c r="D80" s="131">
        <f t="shared" si="3"/>
        <v>-47.94876233339103</v>
      </c>
    </row>
    <row r="81" spans="1:4" ht="15.75" hidden="1">
      <c r="A81" s="117" t="s">
        <v>1484</v>
      </c>
      <c r="B81" s="124">
        <v>1150</v>
      </c>
      <c r="C81" s="124">
        <v>270</v>
      </c>
      <c r="D81" s="131">
        <f t="shared" si="3"/>
        <v>-76.52173913043478</v>
      </c>
    </row>
    <row r="82" spans="1:4" ht="15.75" hidden="1">
      <c r="A82" s="117" t="s">
        <v>1485</v>
      </c>
      <c r="B82" s="124">
        <v>297</v>
      </c>
      <c r="C82" s="124">
        <v>130</v>
      </c>
      <c r="D82" s="131">
        <f t="shared" si="3"/>
        <v>-56.22895622895623</v>
      </c>
    </row>
    <row r="83" spans="1:4" ht="15.75" hidden="1">
      <c r="A83" s="117" t="s">
        <v>1486</v>
      </c>
      <c r="B83" s="124">
        <v>93</v>
      </c>
      <c r="C83" s="124">
        <v>60</v>
      </c>
      <c r="D83" s="131">
        <f t="shared" si="3"/>
        <v>-35.483870967741936</v>
      </c>
    </row>
    <row r="84" spans="1:4" ht="15.75" hidden="1">
      <c r="A84" s="117" t="s">
        <v>1487</v>
      </c>
      <c r="B84" s="124">
        <v>25</v>
      </c>
      <c r="C84" s="124"/>
      <c r="D84" s="131">
        <f t="shared" si="3"/>
        <v>-100</v>
      </c>
    </row>
    <row r="85" spans="1:4" ht="15.75" hidden="1">
      <c r="A85" s="117" t="s">
        <v>1488</v>
      </c>
      <c r="B85" s="124">
        <v>20</v>
      </c>
      <c r="C85" s="124"/>
      <c r="D85" s="131">
        <f t="shared" si="3"/>
        <v>-100</v>
      </c>
    </row>
    <row r="86" spans="1:4" ht="24.75" customHeight="1">
      <c r="A86" s="138" t="s">
        <v>122</v>
      </c>
      <c r="B86" s="124">
        <f>+B4+B9+B18+B52+B62+B65+B71+B74</f>
        <v>400300</v>
      </c>
      <c r="C86" s="124">
        <f>+C4+C9+C18+C52+C62+C65+C71+C74</f>
        <v>324950</v>
      </c>
      <c r="D86" s="131">
        <f t="shared" si="3"/>
        <v>-18.823382463152637</v>
      </c>
    </row>
    <row r="87" spans="1:4" ht="54" customHeight="1">
      <c r="A87" s="490" t="s">
        <v>1411</v>
      </c>
      <c r="B87" s="490"/>
      <c r="C87" s="490"/>
      <c r="D87" s="490"/>
    </row>
  </sheetData>
  <sheetProtection/>
  <mergeCells count="2">
    <mergeCell ref="A1:D1"/>
    <mergeCell ref="A87:D87"/>
  </mergeCells>
  <printOptions horizontalCentered="1"/>
  <pageMargins left="0.79" right="0.79" top="0.98" bottom="0.98" header="0.2" footer="0.79"/>
  <pageSetup firstPageNumber="69" useFirstPageNumber="1" fitToHeight="2" fitToWidth="1"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2"/>
  <sheetViews>
    <sheetView showZeros="0" zoomScalePageLayoutView="0" workbookViewId="0" topLeftCell="A9">
      <selection activeCell="J25" sqref="J25"/>
    </sheetView>
  </sheetViews>
  <sheetFormatPr defaultColWidth="9.00390625" defaultRowHeight="14.25"/>
  <cols>
    <col min="1" max="1" width="35.125" style="109" customWidth="1"/>
    <col min="2" max="2" width="16.375" style="109" customWidth="1"/>
    <col min="3" max="3" width="14.25390625" style="109" customWidth="1"/>
    <col min="4" max="4" width="10.375" style="109" customWidth="1"/>
    <col min="5" max="16384" width="9.00390625" style="109" customWidth="1"/>
  </cols>
  <sheetData>
    <row r="1" spans="1:6" s="108" customFormat="1" ht="33.75" customHeight="1">
      <c r="A1" s="134" t="s">
        <v>1489</v>
      </c>
      <c r="B1" s="135"/>
      <c r="C1" s="135"/>
      <c r="D1" s="135"/>
      <c r="E1" s="110"/>
      <c r="F1" s="110"/>
    </row>
    <row r="2" spans="1:4" ht="15" customHeight="1">
      <c r="A2" s="111"/>
      <c r="B2" s="111"/>
      <c r="C2" s="111"/>
      <c r="D2" s="120" t="s">
        <v>1</v>
      </c>
    </row>
    <row r="3" spans="1:4" ht="33" customHeight="1">
      <c r="A3" s="121" t="s">
        <v>2</v>
      </c>
      <c r="B3" s="122" t="s">
        <v>80</v>
      </c>
      <c r="C3" s="121" t="s">
        <v>1390</v>
      </c>
      <c r="D3" s="121" t="s">
        <v>287</v>
      </c>
    </row>
    <row r="4" spans="1:4" ht="33" customHeight="1">
      <c r="A4" s="123" t="s">
        <v>1393</v>
      </c>
      <c r="B4" s="124">
        <v>0</v>
      </c>
      <c r="C4" s="124"/>
      <c r="D4" s="125"/>
    </row>
    <row r="5" spans="1:4" ht="33" customHeight="1">
      <c r="A5" s="123" t="s">
        <v>1394</v>
      </c>
      <c r="B5" s="124"/>
      <c r="C5" s="124">
        <v>100</v>
      </c>
      <c r="D5" s="125"/>
    </row>
    <row r="6" spans="1:4" ht="33" customHeight="1">
      <c r="A6" s="123" t="s">
        <v>1395</v>
      </c>
      <c r="B6" s="124">
        <f>SUM(B7:B7)</f>
        <v>0</v>
      </c>
      <c r="C6" s="124">
        <f>SUM(C7:C7)</f>
        <v>0</v>
      </c>
      <c r="D6" s="125"/>
    </row>
    <row r="7" spans="1:4" ht="29.25" customHeight="1" hidden="1">
      <c r="A7" s="126" t="s">
        <v>1396</v>
      </c>
      <c r="B7" s="124"/>
      <c r="C7" s="124"/>
      <c r="D7" s="125"/>
    </row>
    <row r="8" spans="1:4" ht="33" customHeight="1">
      <c r="A8" s="123" t="s">
        <v>1397</v>
      </c>
      <c r="B8" s="124">
        <v>1269</v>
      </c>
      <c r="C8" s="124">
        <v>1400</v>
      </c>
      <c r="D8" s="125">
        <f aca="true" t="shared" si="0" ref="D8:D22">C8/B8*100-100</f>
        <v>10.323089046493308</v>
      </c>
    </row>
    <row r="9" spans="1:4" ht="33" customHeight="1">
      <c r="A9" s="123" t="s">
        <v>1398</v>
      </c>
      <c r="B9" s="124">
        <v>815</v>
      </c>
      <c r="C9" s="124">
        <v>760</v>
      </c>
      <c r="D9" s="125">
        <f t="shared" si="0"/>
        <v>-6.748466257668724</v>
      </c>
    </row>
    <row r="10" spans="1:4" ht="33" customHeight="1">
      <c r="A10" s="123" t="s">
        <v>1399</v>
      </c>
      <c r="B10" s="124">
        <v>143</v>
      </c>
      <c r="C10" s="124">
        <v>280</v>
      </c>
      <c r="D10" s="125">
        <f t="shared" si="0"/>
        <v>95.80419580419581</v>
      </c>
    </row>
    <row r="11" spans="1:4" ht="33" customHeight="1">
      <c r="A11" s="123" t="s">
        <v>1400</v>
      </c>
      <c r="B11" s="124">
        <f>SUM(B12:B15)</f>
        <v>127125</v>
      </c>
      <c r="C11" s="124">
        <f>SUM(C12:C15)</f>
        <v>140160</v>
      </c>
      <c r="D11" s="125">
        <f t="shared" si="0"/>
        <v>10.25368731563421</v>
      </c>
    </row>
    <row r="12" spans="1:4" ht="33" customHeight="1">
      <c r="A12" s="126" t="s">
        <v>1401</v>
      </c>
      <c r="B12" s="124">
        <v>127125</v>
      </c>
      <c r="C12" s="124">
        <v>140160</v>
      </c>
      <c r="D12" s="125">
        <f t="shared" si="0"/>
        <v>10.25368731563421</v>
      </c>
    </row>
    <row r="13" spans="1:4" ht="33" customHeight="1">
      <c r="A13" s="126" t="s">
        <v>1402</v>
      </c>
      <c r="B13" s="124"/>
      <c r="C13" s="124"/>
      <c r="D13" s="125"/>
    </row>
    <row r="14" spans="1:4" ht="33" customHeight="1">
      <c r="A14" s="126" t="s">
        <v>1403</v>
      </c>
      <c r="B14" s="124"/>
      <c r="C14" s="124"/>
      <c r="D14" s="125"/>
    </row>
    <row r="15" spans="1:17" ht="33" customHeight="1">
      <c r="A15" s="126" t="s">
        <v>1404</v>
      </c>
      <c r="B15" s="124"/>
      <c r="C15" s="124"/>
      <c r="D15" s="125"/>
      <c r="O15" s="140"/>
      <c r="P15" s="140"/>
      <c r="Q15" s="140"/>
    </row>
    <row r="16" spans="1:4" ht="33" customHeight="1">
      <c r="A16" s="123" t="s">
        <v>1405</v>
      </c>
      <c r="B16" s="124"/>
      <c r="C16" s="124"/>
      <c r="D16" s="125"/>
    </row>
    <row r="17" spans="1:4" ht="33" customHeight="1">
      <c r="A17" s="123" t="s">
        <v>1406</v>
      </c>
      <c r="B17" s="124">
        <v>4684</v>
      </c>
      <c r="C17" s="124">
        <v>3000</v>
      </c>
      <c r="D17" s="125">
        <f t="shared" si="0"/>
        <v>-35.952177625960715</v>
      </c>
    </row>
    <row r="18" spans="1:4" ht="33" customHeight="1">
      <c r="A18" s="123" t="s">
        <v>1407</v>
      </c>
      <c r="B18" s="124"/>
      <c r="C18" s="124"/>
      <c r="D18" s="125"/>
    </row>
    <row r="19" spans="1:4" ht="33" customHeight="1">
      <c r="A19" s="123" t="s">
        <v>1408</v>
      </c>
      <c r="B19" s="124"/>
      <c r="C19" s="124"/>
      <c r="D19" s="125"/>
    </row>
    <row r="20" spans="1:4" ht="33" customHeight="1">
      <c r="A20" s="127" t="s">
        <v>1409</v>
      </c>
      <c r="B20" s="124">
        <v>2575</v>
      </c>
      <c r="C20" s="124">
        <v>3000</v>
      </c>
      <c r="D20" s="125">
        <f t="shared" si="0"/>
        <v>16.50485436893203</v>
      </c>
    </row>
    <row r="21" spans="1:4" ht="33" customHeight="1">
      <c r="A21" s="123" t="s">
        <v>1410</v>
      </c>
      <c r="B21" s="124">
        <v>598</v>
      </c>
      <c r="C21" s="124"/>
      <c r="D21" s="125"/>
    </row>
    <row r="22" spans="1:4" ht="33" customHeight="1">
      <c r="A22" s="139" t="s">
        <v>122</v>
      </c>
      <c r="B22" s="129">
        <f>B4+B5+B6+B8+B9+B10+B11+B16+B17+B18+B19+B21+B20</f>
        <v>137209</v>
      </c>
      <c r="C22" s="129">
        <f>C4+C5+C6+C8+C9+C10+C11+C16+C17+C18+C19+C21+C20</f>
        <v>148700</v>
      </c>
      <c r="D22" s="125">
        <f t="shared" si="0"/>
        <v>8.374815063151829</v>
      </c>
    </row>
  </sheetData>
  <sheetProtection/>
  <printOptions horizontalCentered="1"/>
  <pageMargins left="0.79" right="0.79" top="0.98" bottom="0.98" header="0.2" footer="0.79"/>
  <pageSetup firstPageNumber="70" useFirstPageNumber="1"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4">
      <selection activeCell="D6" sqref="D6"/>
    </sheetView>
  </sheetViews>
  <sheetFormatPr defaultColWidth="9.00390625" defaultRowHeight="14.25"/>
  <cols>
    <col min="1" max="1" width="32.75390625" style="109" customWidth="1"/>
    <col min="2" max="2" width="19.375" style="109" customWidth="1"/>
    <col min="3" max="3" width="13.75390625" style="109" customWidth="1"/>
    <col min="4" max="4" width="13.00390625" style="109" customWidth="1"/>
    <col min="5" max="5" width="11.625" style="109" bestFit="1" customWidth="1"/>
    <col min="6" max="16384" width="9.00390625" style="109" customWidth="1"/>
  </cols>
  <sheetData>
    <row r="1" spans="1:4" s="108" customFormat="1" ht="39.75" customHeight="1">
      <c r="A1" s="456" t="s">
        <v>1490</v>
      </c>
      <c r="B1" s="456"/>
      <c r="C1" s="456"/>
      <c r="D1" s="456"/>
    </row>
    <row r="2" spans="1:4" ht="24" customHeight="1">
      <c r="A2" s="111"/>
      <c r="B2" s="112"/>
      <c r="C2" s="112"/>
      <c r="D2" s="112" t="s">
        <v>1</v>
      </c>
    </row>
    <row r="3" spans="1:4" ht="33" customHeight="1">
      <c r="A3" s="77" t="s">
        <v>284</v>
      </c>
      <c r="B3" s="77" t="s">
        <v>1413</v>
      </c>
      <c r="C3" s="77" t="s">
        <v>1390</v>
      </c>
      <c r="D3" s="77" t="s">
        <v>287</v>
      </c>
    </row>
    <row r="4" spans="1:4" ht="21" customHeight="1">
      <c r="A4" s="114" t="s">
        <v>1491</v>
      </c>
      <c r="B4" s="115">
        <f>+B5+B14+B16+B18+B19+B21</f>
        <v>124103</v>
      </c>
      <c r="C4" s="115">
        <f>+C5+C14+C16+C18+C19+C21</f>
        <v>148600</v>
      </c>
      <c r="D4" s="137">
        <f>+(C4-B4)/B4*100</f>
        <v>19.739248849745774</v>
      </c>
    </row>
    <row r="5" spans="1:4" ht="21" customHeight="1">
      <c r="A5" s="116" t="s">
        <v>1431</v>
      </c>
      <c r="B5" s="115">
        <f>SUM(B6:B13)</f>
        <v>115672</v>
      </c>
      <c r="C5" s="115">
        <f>SUM(C6:C13)</f>
        <v>140160</v>
      </c>
      <c r="D5" s="137">
        <f aca="true" t="shared" si="0" ref="D5:D28">+(C5-B5)/B5*100</f>
        <v>21.170205408396154</v>
      </c>
    </row>
    <row r="6" spans="1:4" ht="21" customHeight="1">
      <c r="A6" s="117" t="s">
        <v>1432</v>
      </c>
      <c r="B6" s="115">
        <f>84782-3684+80</f>
        <v>81178</v>
      </c>
      <c r="C6" s="115">
        <v>116329</v>
      </c>
      <c r="D6" s="137">
        <f t="shared" si="0"/>
        <v>43.301140703146174</v>
      </c>
    </row>
    <row r="7" spans="1:4" ht="21" customHeight="1">
      <c r="A7" s="117" t="s">
        <v>1433</v>
      </c>
      <c r="B7" s="115">
        <v>10057</v>
      </c>
      <c r="C7" s="115">
        <v>11885</v>
      </c>
      <c r="D7" s="137">
        <f t="shared" si="0"/>
        <v>18.176394551058962</v>
      </c>
    </row>
    <row r="8" spans="1:4" ht="21" customHeight="1">
      <c r="A8" s="117" t="s">
        <v>1434</v>
      </c>
      <c r="B8" s="115">
        <v>6898</v>
      </c>
      <c r="C8" s="115">
        <v>8153</v>
      </c>
      <c r="D8" s="137">
        <f t="shared" si="0"/>
        <v>18.193679327341258</v>
      </c>
    </row>
    <row r="9" spans="1:4" ht="21" customHeight="1">
      <c r="A9" s="117" t="s">
        <v>1436</v>
      </c>
      <c r="B9" s="115">
        <v>1980</v>
      </c>
      <c r="C9" s="115">
        <v>2342</v>
      </c>
      <c r="D9" s="137">
        <f t="shared" si="0"/>
        <v>18.282828282828284</v>
      </c>
    </row>
    <row r="10" spans="1:4" ht="21" customHeight="1">
      <c r="A10" s="117" t="s">
        <v>1437</v>
      </c>
      <c r="B10" s="115">
        <v>350</v>
      </c>
      <c r="C10" s="115">
        <v>380</v>
      </c>
      <c r="D10" s="137">
        <f t="shared" si="0"/>
        <v>8.571428571428571</v>
      </c>
    </row>
    <row r="11" spans="1:4" ht="21" customHeight="1">
      <c r="A11" s="117" t="s">
        <v>1438</v>
      </c>
      <c r="B11" s="115">
        <v>14300</v>
      </c>
      <c r="C11" s="115"/>
      <c r="D11" s="137"/>
    </row>
    <row r="12" spans="1:4" ht="21" customHeight="1">
      <c r="A12" s="133" t="s">
        <v>1428</v>
      </c>
      <c r="B12" s="115">
        <v>644</v>
      </c>
      <c r="C12" s="115">
        <v>761</v>
      </c>
      <c r="D12" s="137">
        <f t="shared" si="0"/>
        <v>18.16770186335404</v>
      </c>
    </row>
    <row r="13" spans="1:4" ht="21" customHeight="1">
      <c r="A13" s="117" t="s">
        <v>1440</v>
      </c>
      <c r="B13" s="115">
        <v>265</v>
      </c>
      <c r="C13" s="115">
        <v>310</v>
      </c>
      <c r="D13" s="137">
        <f t="shared" si="0"/>
        <v>16.9811320754717</v>
      </c>
    </row>
    <row r="14" spans="1:4" ht="21" customHeight="1">
      <c r="A14" s="116" t="s">
        <v>1441</v>
      </c>
      <c r="B14" s="115">
        <f>SUM(B15)</f>
        <v>1221</v>
      </c>
      <c r="C14" s="115">
        <f>SUM(C15)</f>
        <v>1400</v>
      </c>
      <c r="D14" s="137"/>
    </row>
    <row r="15" spans="1:4" ht="21" customHeight="1">
      <c r="A15" s="117" t="s">
        <v>1442</v>
      </c>
      <c r="B15" s="115">
        <v>1221</v>
      </c>
      <c r="C15" s="115">
        <v>1400</v>
      </c>
      <c r="D15" s="137"/>
    </row>
    <row r="16" spans="1:4" ht="21" customHeight="1">
      <c r="A16" s="116" t="s">
        <v>1443</v>
      </c>
      <c r="B16" s="115">
        <f aca="true" t="shared" si="1" ref="B16:B21">+B17</f>
        <v>882</v>
      </c>
      <c r="C16" s="115">
        <f aca="true" t="shared" si="2" ref="C16:C21">+C17</f>
        <v>760</v>
      </c>
      <c r="D16" s="137">
        <f t="shared" si="0"/>
        <v>-13.83219954648526</v>
      </c>
    </row>
    <row r="17" spans="1:4" ht="21" customHeight="1">
      <c r="A17" s="117" t="s">
        <v>1446</v>
      </c>
      <c r="B17" s="115">
        <v>882</v>
      </c>
      <c r="C17" s="115">
        <v>760</v>
      </c>
      <c r="D17" s="137">
        <f t="shared" si="0"/>
        <v>-13.83219954648526</v>
      </c>
    </row>
    <row r="18" spans="1:4" ht="21" customHeight="1">
      <c r="A18" s="116" t="s">
        <v>1447</v>
      </c>
      <c r="B18" s="115">
        <v>128</v>
      </c>
      <c r="C18" s="115">
        <v>280</v>
      </c>
      <c r="D18" s="137">
        <f t="shared" si="0"/>
        <v>118.75</v>
      </c>
    </row>
    <row r="19" spans="1:4" ht="21" customHeight="1">
      <c r="A19" s="116" t="s">
        <v>1452</v>
      </c>
      <c r="B19" s="115">
        <f t="shared" si="1"/>
        <v>2600</v>
      </c>
      <c r="C19" s="115">
        <f t="shared" si="2"/>
        <v>3000</v>
      </c>
      <c r="D19" s="137">
        <f t="shared" si="0"/>
        <v>15.384615384615385</v>
      </c>
    </row>
    <row r="20" spans="1:4" ht="21" customHeight="1">
      <c r="A20" s="133" t="s">
        <v>1453</v>
      </c>
      <c r="B20" s="115">
        <v>2600</v>
      </c>
      <c r="C20" s="115">
        <v>3000</v>
      </c>
      <c r="D20" s="137">
        <f t="shared" si="0"/>
        <v>15.384615384615385</v>
      </c>
    </row>
    <row r="21" spans="1:4" ht="21" customHeight="1">
      <c r="A21" s="117" t="s">
        <v>1454</v>
      </c>
      <c r="B21" s="115">
        <f t="shared" si="1"/>
        <v>3600</v>
      </c>
      <c r="C21" s="115">
        <f t="shared" si="2"/>
        <v>3000</v>
      </c>
      <c r="D21" s="137">
        <f t="shared" si="0"/>
        <v>-16.666666666666664</v>
      </c>
    </row>
    <row r="22" spans="1:4" ht="21" customHeight="1">
      <c r="A22" s="117" t="s">
        <v>1492</v>
      </c>
      <c r="B22" s="115">
        <v>3600</v>
      </c>
      <c r="C22" s="115">
        <v>3000</v>
      </c>
      <c r="D22" s="137">
        <f t="shared" si="0"/>
        <v>-16.666666666666664</v>
      </c>
    </row>
    <row r="23" spans="1:4" ht="21" customHeight="1">
      <c r="A23" s="118" t="s">
        <v>1493</v>
      </c>
      <c r="B23" s="115">
        <f>+B24</f>
        <v>80</v>
      </c>
      <c r="C23" s="115">
        <f>+C24</f>
        <v>100</v>
      </c>
      <c r="D23" s="137">
        <f t="shared" si="0"/>
        <v>25</v>
      </c>
    </row>
    <row r="24" spans="1:4" ht="21" customHeight="1">
      <c r="A24" s="117" t="s">
        <v>1471</v>
      </c>
      <c r="B24" s="115">
        <f>+B25</f>
        <v>80</v>
      </c>
      <c r="C24" s="115">
        <v>100</v>
      </c>
      <c r="D24" s="137">
        <f t="shared" si="0"/>
        <v>25</v>
      </c>
    </row>
    <row r="25" spans="1:4" ht="21" customHeight="1">
      <c r="A25" s="117" t="s">
        <v>1473</v>
      </c>
      <c r="B25" s="115">
        <v>80</v>
      </c>
      <c r="C25" s="115">
        <v>100</v>
      </c>
      <c r="D25" s="137">
        <f t="shared" si="0"/>
        <v>25</v>
      </c>
    </row>
    <row r="26" spans="1:4" ht="21" customHeight="1">
      <c r="A26" s="118" t="s">
        <v>1494</v>
      </c>
      <c r="B26" s="115">
        <f>+B27</f>
        <v>360</v>
      </c>
      <c r="C26" s="115"/>
      <c r="D26" s="137"/>
    </row>
    <row r="27" spans="1:4" ht="21" customHeight="1">
      <c r="A27" s="117" t="s">
        <v>1478</v>
      </c>
      <c r="B27" s="115">
        <v>360</v>
      </c>
      <c r="C27" s="115"/>
      <c r="D27" s="137"/>
    </row>
    <row r="28" spans="1:4" ht="21" customHeight="1">
      <c r="A28" s="138" t="s">
        <v>122</v>
      </c>
      <c r="B28" s="115">
        <f>+B4+B23+B26</f>
        <v>124543</v>
      </c>
      <c r="C28" s="115">
        <f>+C4+C23+C26</f>
        <v>148700</v>
      </c>
      <c r="D28" s="137">
        <f t="shared" si="0"/>
        <v>19.396513653918728</v>
      </c>
    </row>
    <row r="29" spans="1:4" ht="37.5" customHeight="1">
      <c r="A29" s="490" t="s">
        <v>1411</v>
      </c>
      <c r="B29" s="490"/>
      <c r="C29" s="490"/>
      <c r="D29" s="490"/>
    </row>
  </sheetData>
  <sheetProtection/>
  <mergeCells count="2">
    <mergeCell ref="A1:D1"/>
    <mergeCell ref="A29:D29"/>
  </mergeCells>
  <printOptions horizontalCentered="1"/>
  <pageMargins left="0.79" right="0.79" top="0.98" bottom="0.98" header="0.2" footer="0.79"/>
  <pageSetup firstPageNumber="71" useFirstPageNumber="1" horizontalDpi="600" verticalDpi="600" orientation="portrait" paperSize="9"/>
  <headerFooter scaleWithDoc="0" alignWithMargins="0">
    <oddFooter>&amp;C第 &amp;P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zoomScalePageLayoutView="0" workbookViewId="0" topLeftCell="A1">
      <selection activeCell="M16" sqref="M16"/>
    </sheetView>
  </sheetViews>
  <sheetFormatPr defaultColWidth="9.00390625" defaultRowHeight="14.25"/>
  <cols>
    <col min="1" max="1" width="34.625" style="0" customWidth="1"/>
    <col min="2" max="4" width="33.25390625" style="0" customWidth="1"/>
    <col min="6" max="11" width="9.00390625" style="0" hidden="1" customWidth="1"/>
  </cols>
  <sheetData>
    <row r="1" spans="1:4" ht="37.5" customHeight="1">
      <c r="A1" s="491" t="s">
        <v>1496</v>
      </c>
      <c r="B1" s="491"/>
      <c r="C1" s="491"/>
      <c r="D1" s="491"/>
    </row>
    <row r="2" spans="1:4" ht="17.25" customHeight="1">
      <c r="A2" s="98"/>
      <c r="B2" s="98"/>
      <c r="C2" s="98"/>
      <c r="D2" s="99" t="s">
        <v>131</v>
      </c>
    </row>
    <row r="3" spans="1:4" ht="22.5" customHeight="1">
      <c r="A3" s="492" t="s">
        <v>1497</v>
      </c>
      <c r="B3" s="492"/>
      <c r="C3" s="492" t="s">
        <v>1498</v>
      </c>
      <c r="D3" s="492"/>
    </row>
    <row r="4" spans="1:4" s="95" customFormat="1" ht="22.5" customHeight="1">
      <c r="A4" s="75" t="s">
        <v>1499</v>
      </c>
      <c r="B4" s="75" t="s">
        <v>1500</v>
      </c>
      <c r="C4" s="75" t="s">
        <v>1499</v>
      </c>
      <c r="D4" s="75" t="s">
        <v>1500</v>
      </c>
    </row>
    <row r="5" spans="1:4" ht="22.5" customHeight="1">
      <c r="A5" s="100" t="s">
        <v>137</v>
      </c>
      <c r="B5" s="101">
        <v>2656.41</v>
      </c>
      <c r="C5" s="100" t="s">
        <v>1501</v>
      </c>
      <c r="D5" s="101"/>
    </row>
    <row r="6" spans="1:4" ht="22.5" customHeight="1">
      <c r="A6" s="100" t="s">
        <v>1502</v>
      </c>
      <c r="B6" s="101">
        <f>B5-B8</f>
        <v>2644.41</v>
      </c>
      <c r="C6" s="100" t="s">
        <v>1503</v>
      </c>
      <c r="D6" s="101"/>
    </row>
    <row r="7" spans="1:4" ht="22.5" customHeight="1">
      <c r="A7" s="100" t="s">
        <v>1504</v>
      </c>
      <c r="B7" s="101"/>
      <c r="C7" s="100" t="s">
        <v>1505</v>
      </c>
      <c r="D7" s="101"/>
    </row>
    <row r="8" spans="1:4" ht="22.5" customHeight="1">
      <c r="A8" s="100" t="s">
        <v>1506</v>
      </c>
      <c r="B8" s="101">
        <v>12</v>
      </c>
      <c r="C8" s="100" t="s">
        <v>1507</v>
      </c>
      <c r="D8" s="101"/>
    </row>
    <row r="9" spans="1:4" ht="22.5" customHeight="1">
      <c r="A9" s="100" t="s">
        <v>1508</v>
      </c>
      <c r="B9" s="101"/>
      <c r="C9" s="100" t="s">
        <v>1509</v>
      </c>
      <c r="D9" s="101"/>
    </row>
    <row r="10" spans="1:4" ht="22.5" customHeight="1">
      <c r="A10" s="102" t="s">
        <v>1510</v>
      </c>
      <c r="B10" s="101"/>
      <c r="C10" s="100" t="s">
        <v>1511</v>
      </c>
      <c r="D10" s="101"/>
    </row>
    <row r="11" spans="1:4" ht="22.5" customHeight="1">
      <c r="A11" s="102" t="s">
        <v>1512</v>
      </c>
      <c r="B11" s="101"/>
      <c r="C11" s="100" t="s">
        <v>1513</v>
      </c>
      <c r="D11" s="101"/>
    </row>
    <row r="12" spans="1:4" ht="22.5" customHeight="1">
      <c r="A12" s="103" t="s">
        <v>1514</v>
      </c>
      <c r="B12" s="101"/>
      <c r="C12" s="100" t="s">
        <v>1515</v>
      </c>
      <c r="D12" s="101"/>
    </row>
    <row r="13" spans="1:4" ht="22.5" customHeight="1">
      <c r="A13" s="100" t="s">
        <v>1516</v>
      </c>
      <c r="B13" s="101"/>
      <c r="C13" s="100" t="s">
        <v>1517</v>
      </c>
      <c r="D13" s="101"/>
    </row>
    <row r="14" spans="1:4" ht="22.5" customHeight="1">
      <c r="A14" s="100" t="s">
        <v>155</v>
      </c>
      <c r="B14" s="101"/>
      <c r="C14" s="100" t="s">
        <v>1518</v>
      </c>
      <c r="D14" s="101"/>
    </row>
    <row r="15" spans="1:4" ht="22.5" customHeight="1">
      <c r="A15" s="100" t="s">
        <v>1519</v>
      </c>
      <c r="B15" s="101"/>
      <c r="C15" s="100" t="s">
        <v>1520</v>
      </c>
      <c r="D15" s="101">
        <v>2233.04</v>
      </c>
    </row>
    <row r="16" spans="1:4" ht="22.5" customHeight="1">
      <c r="A16" s="100" t="s">
        <v>155</v>
      </c>
      <c r="B16" s="101"/>
      <c r="C16" s="100" t="s">
        <v>1521</v>
      </c>
      <c r="D16" s="101"/>
    </row>
    <row r="17" spans="1:4" ht="22.5" customHeight="1">
      <c r="A17" s="100" t="s">
        <v>1522</v>
      </c>
      <c r="B17" s="101"/>
      <c r="C17" s="100" t="s">
        <v>1523</v>
      </c>
      <c r="D17" s="101">
        <v>423.37</v>
      </c>
    </row>
    <row r="18" spans="1:4" ht="22.5" customHeight="1">
      <c r="A18" s="100" t="s">
        <v>155</v>
      </c>
      <c r="B18" s="101"/>
      <c r="C18" s="104" t="s">
        <v>1525</v>
      </c>
      <c r="D18" s="101">
        <v>2656.41</v>
      </c>
    </row>
    <row r="19" spans="1:4" ht="22.5" customHeight="1">
      <c r="A19" s="104" t="s">
        <v>1524</v>
      </c>
      <c r="B19" s="105"/>
      <c r="C19" s="516" t="s">
        <v>1660</v>
      </c>
      <c r="D19" s="101"/>
    </row>
    <row r="20" spans="1:4" ht="22.5" customHeight="1">
      <c r="A20" s="104" t="s">
        <v>1526</v>
      </c>
      <c r="B20" s="101"/>
      <c r="C20" s="104" t="s">
        <v>1527</v>
      </c>
      <c r="D20" s="101"/>
    </row>
    <row r="21" spans="1:4" s="96" customFormat="1" ht="22.5" customHeight="1">
      <c r="A21" s="106" t="s">
        <v>1528</v>
      </c>
      <c r="B21" s="101">
        <v>2656.41</v>
      </c>
      <c r="C21" s="106" t="s">
        <v>1529</v>
      </c>
      <c r="D21" s="101">
        <v>2656.41</v>
      </c>
    </row>
    <row r="22" spans="1:4" s="97" customFormat="1" ht="24.75" customHeight="1">
      <c r="A22" s="493"/>
      <c r="B22" s="493"/>
      <c r="C22" s="96"/>
      <c r="D22" s="107"/>
    </row>
  </sheetData>
  <sheetProtection/>
  <mergeCells count="4">
    <mergeCell ref="A1:D1"/>
    <mergeCell ref="A3:B3"/>
    <mergeCell ref="C3:D3"/>
    <mergeCell ref="A22:B22"/>
  </mergeCells>
  <printOptions horizontalCentered="1"/>
  <pageMargins left="0.39" right="0.39" top="0.98" bottom="0.98" header="0.2" footer="0.79"/>
  <pageSetup firstPageNumber="76" useFirstPageNumber="1" horizontalDpi="600" verticalDpi="600" orientation="landscape" paperSize="9" scale="90"/>
  <headerFooter alignWithMargins="0">
    <oddFooter>&amp;C第 &amp;P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105.375" style="84" customWidth="1"/>
    <col min="2" max="2" width="37.375" style="85" customWidth="1"/>
    <col min="3" max="16384" width="9.00390625" style="85" customWidth="1"/>
  </cols>
  <sheetData>
    <row r="1" spans="1:2" ht="57.75" customHeight="1">
      <c r="A1" s="485" t="s">
        <v>1530</v>
      </c>
      <c r="B1" s="485"/>
    </row>
    <row r="2" spans="1:2" ht="27.75" customHeight="1">
      <c r="A2" s="86"/>
      <c r="B2" s="87" t="s">
        <v>131</v>
      </c>
    </row>
    <row r="3" spans="1:2" s="83" customFormat="1" ht="33" customHeight="1">
      <c r="A3" s="88" t="s">
        <v>1531</v>
      </c>
      <c r="B3" s="89" t="s">
        <v>348</v>
      </c>
    </row>
    <row r="4" spans="1:2" s="83" customFormat="1" ht="33" customHeight="1">
      <c r="A4" s="90" t="s">
        <v>137</v>
      </c>
      <c r="B4" s="91">
        <f>B5+B9</f>
        <v>2656.41</v>
      </c>
    </row>
    <row r="5" spans="1:2" s="83" customFormat="1" ht="33" customHeight="1">
      <c r="A5" s="90" t="s">
        <v>1532</v>
      </c>
      <c r="B5" s="91">
        <f>B6+B7+B8</f>
        <v>2644.41</v>
      </c>
    </row>
    <row r="6" spans="1:2" s="83" customFormat="1" ht="33" customHeight="1">
      <c r="A6" s="90" t="s">
        <v>1533</v>
      </c>
      <c r="B6" s="91">
        <v>1682.11</v>
      </c>
    </row>
    <row r="7" spans="1:2" s="83" customFormat="1" ht="33" customHeight="1">
      <c r="A7" s="92" t="s">
        <v>1534</v>
      </c>
      <c r="B7" s="91">
        <v>945</v>
      </c>
    </row>
    <row r="8" spans="1:2" s="83" customFormat="1" ht="33" customHeight="1">
      <c r="A8" s="90" t="s">
        <v>1535</v>
      </c>
      <c r="B8" s="91">
        <v>17.3</v>
      </c>
    </row>
    <row r="9" spans="1:2" s="83" customFormat="1" ht="33" customHeight="1">
      <c r="A9" s="90" t="s">
        <v>1536</v>
      </c>
      <c r="B9" s="91">
        <v>12</v>
      </c>
    </row>
    <row r="10" spans="1:2" s="83" customFormat="1" ht="33" customHeight="1">
      <c r="A10" s="92" t="s">
        <v>1537</v>
      </c>
      <c r="B10" s="91">
        <v>12</v>
      </c>
    </row>
    <row r="11" spans="1:2" s="83" customFormat="1" ht="33" customHeight="1">
      <c r="A11" s="90" t="s">
        <v>1508</v>
      </c>
      <c r="B11" s="91"/>
    </row>
    <row r="12" spans="1:2" s="83" customFormat="1" ht="33" customHeight="1">
      <c r="A12" s="90" t="s">
        <v>1516</v>
      </c>
      <c r="B12" s="91"/>
    </row>
    <row r="13" spans="1:2" s="83" customFormat="1" ht="33" customHeight="1">
      <c r="A13" s="90" t="s">
        <v>1519</v>
      </c>
      <c r="B13" s="91"/>
    </row>
    <row r="14" spans="1:2" s="83" customFormat="1" ht="33" customHeight="1">
      <c r="A14" s="90" t="s">
        <v>1538</v>
      </c>
      <c r="B14" s="91"/>
    </row>
    <row r="15" spans="1:2" s="83" customFormat="1" ht="33" customHeight="1">
      <c r="A15" s="93" t="s">
        <v>1539</v>
      </c>
      <c r="B15" s="91">
        <f>B4+B14</f>
        <v>2656.41</v>
      </c>
    </row>
    <row r="16" spans="1:2" ht="21.75" customHeight="1">
      <c r="A16" s="494"/>
      <c r="B16" s="494"/>
    </row>
    <row r="17" spans="1:2" ht="14.25">
      <c r="A17" s="86"/>
      <c r="B17" s="94"/>
    </row>
  </sheetData>
  <sheetProtection/>
  <mergeCells count="2">
    <mergeCell ref="A1:B1"/>
    <mergeCell ref="A16:B16"/>
  </mergeCells>
  <printOptions horizontalCentered="1"/>
  <pageMargins left="0.35" right="0.35" top="0.98" bottom="0.98" header="0.39" footer="0.79"/>
  <pageSetup firstPageNumber="77" useFirstPageNumber="1" horizontalDpi="600" verticalDpi="600" orientation="landscape" paperSize="9" scale="85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showZeros="0" zoomScalePageLayoutView="0" workbookViewId="0" topLeftCell="A1">
      <pane xSplit="1" ySplit="3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2" sqref="C32"/>
    </sheetView>
  </sheetViews>
  <sheetFormatPr defaultColWidth="9.00390625" defaultRowHeight="14.25"/>
  <cols>
    <col min="1" max="1" width="28.625" style="428" customWidth="1"/>
    <col min="2" max="4" width="10.625" style="428" customWidth="1"/>
    <col min="5" max="5" width="9.375" style="444" hidden="1" customWidth="1"/>
    <col min="6" max="6" width="11.125" style="428" customWidth="1"/>
    <col min="7" max="7" width="5.125" style="428" hidden="1" customWidth="1"/>
    <col min="8" max="8" width="9.00390625" style="428" customWidth="1"/>
    <col min="9" max="9" width="15.50390625" style="428" hidden="1" customWidth="1"/>
    <col min="10" max="11" width="9.00390625" style="428" hidden="1" customWidth="1"/>
    <col min="12" max="16384" width="9.00390625" style="428" customWidth="1"/>
  </cols>
  <sheetData>
    <row r="1" spans="1:6" s="425" customFormat="1" ht="39.75" customHeight="1">
      <c r="A1" s="225" t="s">
        <v>74</v>
      </c>
      <c r="B1" s="436"/>
      <c r="C1" s="436"/>
      <c r="D1" s="436"/>
      <c r="E1" s="445"/>
      <c r="F1" s="437"/>
    </row>
    <row r="2" spans="1:6" s="426" customFormat="1" ht="15" customHeight="1">
      <c r="A2" s="160"/>
      <c r="B2" s="160"/>
      <c r="C2" s="160"/>
      <c r="D2" s="160"/>
      <c r="E2" s="446"/>
      <c r="F2" s="429" t="s">
        <v>75</v>
      </c>
    </row>
    <row r="3" spans="1:6" s="426" customFormat="1" ht="30" customHeight="1">
      <c r="A3" s="393" t="s">
        <v>2</v>
      </c>
      <c r="B3" s="394" t="s">
        <v>3</v>
      </c>
      <c r="C3" s="394" t="s">
        <v>4</v>
      </c>
      <c r="D3" s="394" t="s">
        <v>5</v>
      </c>
      <c r="E3" s="254" t="s">
        <v>6</v>
      </c>
      <c r="F3" s="430" t="s">
        <v>7</v>
      </c>
    </row>
    <row r="4" spans="1:7" s="427" customFormat="1" ht="14.25" customHeight="1">
      <c r="A4" s="161" t="s">
        <v>8</v>
      </c>
      <c r="B4" s="393">
        <f>SUM(B5:B19)</f>
        <v>79048</v>
      </c>
      <c r="C4" s="393">
        <f>SUM(C5:C19)</f>
        <v>63464</v>
      </c>
      <c r="D4" s="438">
        <f aca="true" t="shared" si="0" ref="D4:D40">C4/B4*100</f>
        <v>80.285396214958</v>
      </c>
      <c r="E4" s="393">
        <f>SUM(E5:E19)</f>
        <v>65345</v>
      </c>
      <c r="F4" s="431">
        <f>+(C4-E4)/E4*100</f>
        <v>-2.8785676027240035</v>
      </c>
      <c r="G4" s="427">
        <f>+C4-E4</f>
        <v>-1881</v>
      </c>
    </row>
    <row r="5" spans="1:10" s="427" customFormat="1" ht="14.25" customHeight="1">
      <c r="A5" s="161" t="s">
        <v>9</v>
      </c>
      <c r="B5" s="432">
        <v>8086</v>
      </c>
      <c r="C5" s="432">
        <v>11414</v>
      </c>
      <c r="D5" s="438">
        <f t="shared" si="0"/>
        <v>141.15755627009648</v>
      </c>
      <c r="E5" s="432">
        <v>8060</v>
      </c>
      <c r="F5" s="431">
        <f aca="true" t="shared" si="1" ref="F5:F40">+(C5-E5)/E5*100</f>
        <v>41.612903225806456</v>
      </c>
      <c r="G5" s="427">
        <f>+C5-E5</f>
        <v>3354</v>
      </c>
      <c r="I5" s="427">
        <f>+E5-1629</f>
        <v>6431</v>
      </c>
      <c r="J5" s="427">
        <f>+I5/0.1875</f>
        <v>34298.666666666664</v>
      </c>
    </row>
    <row r="6" spans="1:10" s="427" customFormat="1" ht="14.25" customHeight="1">
      <c r="A6" s="161" t="s">
        <v>10</v>
      </c>
      <c r="B6" s="432">
        <v>15644</v>
      </c>
      <c r="C6" s="432">
        <v>7556</v>
      </c>
      <c r="D6" s="438">
        <f t="shared" si="0"/>
        <v>48.2996676041933</v>
      </c>
      <c r="E6" s="432">
        <v>14233</v>
      </c>
      <c r="F6" s="431">
        <f t="shared" si="1"/>
        <v>-46.91210566992201</v>
      </c>
      <c r="G6" s="427">
        <f aca="true" t="shared" si="2" ref="G6:G18">+C6-E6</f>
        <v>-6677</v>
      </c>
      <c r="I6" s="427">
        <f>1629+14233</f>
        <v>15862</v>
      </c>
      <c r="J6" s="427">
        <f>+I6/0.75</f>
        <v>21149.333333333332</v>
      </c>
    </row>
    <row r="7" spans="1:10" s="427" customFormat="1" ht="14.25" customHeight="1">
      <c r="A7" s="161" t="s">
        <v>11</v>
      </c>
      <c r="B7" s="432">
        <v>5789</v>
      </c>
      <c r="C7" s="432">
        <v>5996</v>
      </c>
      <c r="D7" s="438">
        <f t="shared" si="0"/>
        <v>103.57574710658145</v>
      </c>
      <c r="E7" s="432">
        <v>4832</v>
      </c>
      <c r="F7" s="431">
        <f t="shared" si="1"/>
        <v>24.089403973509935</v>
      </c>
      <c r="G7" s="427">
        <f t="shared" si="2"/>
        <v>1164</v>
      </c>
      <c r="J7" s="427">
        <f>SUM(J5:J6)</f>
        <v>55448</v>
      </c>
    </row>
    <row r="8" spans="1:7" s="427" customFormat="1" ht="14.25" customHeight="1" hidden="1">
      <c r="A8" s="161" t="s">
        <v>12</v>
      </c>
      <c r="B8" s="432">
        <v>0</v>
      </c>
      <c r="C8" s="432"/>
      <c r="D8" s="438"/>
      <c r="E8" s="432"/>
      <c r="F8" s="431"/>
      <c r="G8" s="427">
        <f t="shared" si="2"/>
        <v>0</v>
      </c>
    </row>
    <row r="9" spans="1:9" s="427" customFormat="1" ht="14.25" customHeight="1">
      <c r="A9" s="161" t="s">
        <v>13</v>
      </c>
      <c r="B9" s="432">
        <v>793</v>
      </c>
      <c r="C9" s="432">
        <v>958</v>
      </c>
      <c r="D9" s="438">
        <f t="shared" si="0"/>
        <v>120.80706179066836</v>
      </c>
      <c r="E9" s="432">
        <v>675</v>
      </c>
      <c r="F9" s="431">
        <f t="shared" si="1"/>
        <v>41.92592592592593</v>
      </c>
      <c r="G9" s="427">
        <f t="shared" si="2"/>
        <v>283</v>
      </c>
      <c r="I9" s="427">
        <f>+C5/0.375</f>
        <v>30437.333333333332</v>
      </c>
    </row>
    <row r="10" spans="1:9" s="427" customFormat="1" ht="14.25" customHeight="1">
      <c r="A10" s="161" t="s">
        <v>14</v>
      </c>
      <c r="B10" s="432">
        <v>0</v>
      </c>
      <c r="C10" s="432"/>
      <c r="D10" s="438"/>
      <c r="E10" s="432"/>
      <c r="F10" s="431"/>
      <c r="G10" s="427">
        <f t="shared" si="2"/>
        <v>0</v>
      </c>
      <c r="I10" s="427">
        <f>+C6/0.75</f>
        <v>10074.666666666666</v>
      </c>
    </row>
    <row r="11" spans="1:9" s="427" customFormat="1" ht="14.25" customHeight="1">
      <c r="A11" s="161" t="s">
        <v>15</v>
      </c>
      <c r="B11" s="432">
        <v>13507</v>
      </c>
      <c r="C11" s="432">
        <v>12898</v>
      </c>
      <c r="D11" s="438">
        <f t="shared" si="0"/>
        <v>95.49122677130377</v>
      </c>
      <c r="E11" s="432">
        <v>12308</v>
      </c>
      <c r="F11" s="431">
        <f t="shared" si="1"/>
        <v>4.793630159246018</v>
      </c>
      <c r="G11" s="427">
        <f t="shared" si="2"/>
        <v>590</v>
      </c>
      <c r="I11" s="427">
        <f>SUM(I9:I10)</f>
        <v>40512</v>
      </c>
    </row>
    <row r="12" spans="1:9" s="427" customFormat="1" ht="14.25" customHeight="1">
      <c r="A12" s="161" t="s">
        <v>16</v>
      </c>
      <c r="B12" s="432">
        <v>867</v>
      </c>
      <c r="C12" s="432">
        <v>531</v>
      </c>
      <c r="D12" s="438">
        <f t="shared" si="0"/>
        <v>61.245674740484425</v>
      </c>
      <c r="E12" s="432">
        <v>791</v>
      </c>
      <c r="F12" s="431">
        <f t="shared" si="1"/>
        <v>-32.86978508217446</v>
      </c>
      <c r="G12" s="427">
        <f t="shared" si="2"/>
        <v>-260</v>
      </c>
      <c r="I12" s="427">
        <f>+I11/J7</f>
        <v>0.7306305006492569</v>
      </c>
    </row>
    <row r="13" spans="1:9" s="427" customFormat="1" ht="14.25" customHeight="1">
      <c r="A13" s="161" t="s">
        <v>17</v>
      </c>
      <c r="B13" s="432">
        <v>551</v>
      </c>
      <c r="C13" s="432">
        <v>449</v>
      </c>
      <c r="D13" s="438">
        <f t="shared" si="0"/>
        <v>81.48820326678766</v>
      </c>
      <c r="E13" s="432">
        <v>527</v>
      </c>
      <c r="F13" s="431">
        <f t="shared" si="1"/>
        <v>-14.800759013282732</v>
      </c>
      <c r="I13" s="427">
        <f>+I12-1</f>
        <v>-0.26936949935074306</v>
      </c>
    </row>
    <row r="14" spans="1:6" s="427" customFormat="1" ht="14.25" customHeight="1">
      <c r="A14" s="161" t="s">
        <v>18</v>
      </c>
      <c r="B14" s="432">
        <v>698</v>
      </c>
      <c r="C14" s="432">
        <v>703</v>
      </c>
      <c r="D14" s="438">
        <f t="shared" si="0"/>
        <v>100.71633237822351</v>
      </c>
      <c r="E14" s="432">
        <v>605</v>
      </c>
      <c r="F14" s="431">
        <f t="shared" si="1"/>
        <v>16.198347107438018</v>
      </c>
    </row>
    <row r="15" spans="1:6" s="427" customFormat="1" ht="14.25" customHeight="1">
      <c r="A15" s="161" t="s">
        <v>19</v>
      </c>
      <c r="B15" s="432">
        <v>0</v>
      </c>
      <c r="C15" s="432">
        <v>382</v>
      </c>
      <c r="D15" s="438"/>
      <c r="E15" s="432">
        <v>15</v>
      </c>
      <c r="F15" s="431"/>
    </row>
    <row r="16" spans="1:6" s="427" customFormat="1" ht="14.25" customHeight="1">
      <c r="A16" s="161" t="s">
        <v>20</v>
      </c>
      <c r="B16" s="432">
        <v>0</v>
      </c>
      <c r="C16" s="432"/>
      <c r="D16" s="438"/>
      <c r="E16" s="432">
        <v>1</v>
      </c>
      <c r="F16" s="431"/>
    </row>
    <row r="17" spans="1:7" s="427" customFormat="1" ht="14.25" customHeight="1">
      <c r="A17" s="161" t="s">
        <v>21</v>
      </c>
      <c r="B17" s="432">
        <v>4785</v>
      </c>
      <c r="C17" s="432">
        <v>1611</v>
      </c>
      <c r="D17" s="438">
        <f t="shared" si="0"/>
        <v>33.66771159874608</v>
      </c>
      <c r="E17" s="432">
        <v>0</v>
      </c>
      <c r="F17" s="431"/>
      <c r="G17" s="427">
        <f t="shared" si="2"/>
        <v>1611</v>
      </c>
    </row>
    <row r="18" spans="1:7" s="427" customFormat="1" ht="14.25" customHeight="1">
      <c r="A18" s="161" t="s">
        <v>22</v>
      </c>
      <c r="B18" s="432">
        <v>28328</v>
      </c>
      <c r="C18" s="432">
        <v>20966</v>
      </c>
      <c r="D18" s="438">
        <f t="shared" si="0"/>
        <v>74.01157865009884</v>
      </c>
      <c r="E18" s="432">
        <v>23298</v>
      </c>
      <c r="F18" s="431">
        <f t="shared" si="1"/>
        <v>-10.009442870632672</v>
      </c>
      <c r="G18" s="427">
        <f t="shared" si="2"/>
        <v>-2332</v>
      </c>
    </row>
    <row r="19" spans="1:6" s="427" customFormat="1" ht="14.25" customHeight="1">
      <c r="A19" s="161" t="s">
        <v>23</v>
      </c>
      <c r="B19" s="432">
        <v>0</v>
      </c>
      <c r="C19" s="432"/>
      <c r="D19" s="438"/>
      <c r="E19" s="432"/>
      <c r="F19" s="431"/>
    </row>
    <row r="20" spans="1:6" s="427" customFormat="1" ht="14.25" customHeight="1">
      <c r="A20" s="161" t="s">
        <v>24</v>
      </c>
      <c r="B20" s="393">
        <f>SUM(B21:B28)</f>
        <v>62250</v>
      </c>
      <c r="C20" s="393">
        <f>SUM(C21:C28)</f>
        <v>69759</v>
      </c>
      <c r="D20" s="438">
        <f t="shared" si="0"/>
        <v>112.06265060240963</v>
      </c>
      <c r="E20" s="393">
        <f>SUM(E21:E28)</f>
        <v>78710</v>
      </c>
      <c r="F20" s="431">
        <f t="shared" si="1"/>
        <v>-11.372125524075722</v>
      </c>
    </row>
    <row r="21" spans="1:6" s="427" customFormat="1" ht="14.25" customHeight="1">
      <c r="A21" s="161" t="s">
        <v>25</v>
      </c>
      <c r="B21" s="432">
        <v>17848</v>
      </c>
      <c r="C21" s="432">
        <v>7021</v>
      </c>
      <c r="D21" s="438">
        <f t="shared" si="0"/>
        <v>39.337740923352754</v>
      </c>
      <c r="E21" s="432">
        <v>10065</v>
      </c>
      <c r="F21" s="431">
        <f t="shared" si="1"/>
        <v>-30.243417784401387</v>
      </c>
    </row>
    <row r="22" spans="1:6" s="427" customFormat="1" ht="14.25" customHeight="1">
      <c r="A22" s="161" t="s">
        <v>26</v>
      </c>
      <c r="B22" s="432">
        <v>12574</v>
      </c>
      <c r="C22" s="432">
        <v>17792</v>
      </c>
      <c r="D22" s="438">
        <f t="shared" si="0"/>
        <v>141.49832988706856</v>
      </c>
      <c r="E22" s="432">
        <v>11068</v>
      </c>
      <c r="F22" s="431">
        <f t="shared" si="1"/>
        <v>60.7517166606433</v>
      </c>
    </row>
    <row r="23" spans="1:6" s="427" customFormat="1" ht="14.25" customHeight="1">
      <c r="A23" s="161" t="s">
        <v>27</v>
      </c>
      <c r="B23" s="432">
        <v>12241</v>
      </c>
      <c r="C23" s="432">
        <v>11197</v>
      </c>
      <c r="D23" s="438">
        <f t="shared" si="0"/>
        <v>91.4712850257332</v>
      </c>
      <c r="E23" s="432">
        <v>19480</v>
      </c>
      <c r="F23" s="431">
        <f t="shared" si="1"/>
        <v>-42.520533880903486</v>
      </c>
    </row>
    <row r="24" spans="1:6" s="427" customFormat="1" ht="14.25" customHeight="1">
      <c r="A24" s="161" t="s">
        <v>28</v>
      </c>
      <c r="B24" s="432">
        <v>0</v>
      </c>
      <c r="C24" s="432"/>
      <c r="D24" s="438"/>
      <c r="E24" s="432"/>
      <c r="F24" s="431"/>
    </row>
    <row r="25" spans="1:6" s="427" customFormat="1" ht="14.25" customHeight="1">
      <c r="A25" s="161" t="s">
        <v>29</v>
      </c>
      <c r="B25" s="432">
        <v>15569</v>
      </c>
      <c r="C25" s="432">
        <v>22757</v>
      </c>
      <c r="D25" s="438">
        <f t="shared" si="0"/>
        <v>146.1686685079324</v>
      </c>
      <c r="E25" s="432">
        <v>32396</v>
      </c>
      <c r="F25" s="431">
        <f t="shared" si="1"/>
        <v>-29.75367329299913</v>
      </c>
    </row>
    <row r="26" spans="1:7" s="427" customFormat="1" ht="14.25" customHeight="1">
      <c r="A26" s="161" t="s">
        <v>30</v>
      </c>
      <c r="B26" s="432">
        <v>0</v>
      </c>
      <c r="C26" s="432">
        <v>132</v>
      </c>
      <c r="D26" s="438"/>
      <c r="E26" s="432">
        <v>572</v>
      </c>
      <c r="F26" s="431">
        <f t="shared" si="1"/>
        <v>-76.92307692307693</v>
      </c>
      <c r="G26" s="427">
        <f aca="true" t="shared" si="3" ref="G26:G34">+C26-E26</f>
        <v>-440</v>
      </c>
    </row>
    <row r="27" spans="1:10" s="427" customFormat="1" ht="14.25" customHeight="1">
      <c r="A27" s="161" t="s">
        <v>31</v>
      </c>
      <c r="B27" s="432">
        <v>0</v>
      </c>
      <c r="C27" s="432">
        <v>7614</v>
      </c>
      <c r="D27" s="438"/>
      <c r="E27" s="432">
        <v>0</v>
      </c>
      <c r="F27" s="431"/>
      <c r="G27" s="427">
        <f t="shared" si="3"/>
        <v>7614</v>
      </c>
      <c r="J27" s="417"/>
    </row>
    <row r="28" spans="1:7" s="427" customFormat="1" ht="14.25" customHeight="1">
      <c r="A28" s="161" t="s">
        <v>32</v>
      </c>
      <c r="B28" s="432">
        <v>4018</v>
      </c>
      <c r="C28" s="432">
        <v>3246</v>
      </c>
      <c r="D28" s="438">
        <f t="shared" si="0"/>
        <v>80.78646092583375</v>
      </c>
      <c r="E28" s="432">
        <v>5129</v>
      </c>
      <c r="F28" s="431">
        <f t="shared" si="1"/>
        <v>-36.71280951452525</v>
      </c>
      <c r="G28" s="427">
        <f t="shared" si="3"/>
        <v>-1883</v>
      </c>
    </row>
    <row r="29" spans="1:7" s="427" customFormat="1" ht="14.25" customHeight="1">
      <c r="A29" s="162" t="s">
        <v>33</v>
      </c>
      <c r="B29" s="393">
        <f>+B4+B20</f>
        <v>141298</v>
      </c>
      <c r="C29" s="393">
        <f>+C4+C20</f>
        <v>133223</v>
      </c>
      <c r="D29" s="438">
        <f t="shared" si="0"/>
        <v>94.28512788574503</v>
      </c>
      <c r="E29" s="393">
        <f>+E4+E20</f>
        <v>144055</v>
      </c>
      <c r="F29" s="431">
        <f t="shared" si="1"/>
        <v>-7.5193502481691015</v>
      </c>
      <c r="G29" s="427">
        <f t="shared" si="3"/>
        <v>-10832</v>
      </c>
    </row>
    <row r="30" spans="1:7" s="427" customFormat="1" ht="14.25" customHeight="1">
      <c r="A30" s="163" t="s">
        <v>34</v>
      </c>
      <c r="B30" s="393">
        <f>SUM(B31:B33)</f>
        <v>90924</v>
      </c>
      <c r="C30" s="393">
        <v>88219</v>
      </c>
      <c r="D30" s="438">
        <f t="shared" si="0"/>
        <v>97.02498790198408</v>
      </c>
      <c r="E30" s="393">
        <f>SUM(E31:E33)</f>
        <v>77384</v>
      </c>
      <c r="F30" s="431">
        <f t="shared" si="1"/>
        <v>14.001602398428616</v>
      </c>
      <c r="G30" s="427">
        <f t="shared" si="3"/>
        <v>10835</v>
      </c>
    </row>
    <row r="31" spans="1:7" s="427" customFormat="1" ht="14.25" customHeight="1">
      <c r="A31" s="161" t="s">
        <v>35</v>
      </c>
      <c r="B31" s="432">
        <v>24818</v>
      </c>
      <c r="C31" s="432">
        <v>20765</v>
      </c>
      <c r="D31" s="438">
        <f t="shared" si="0"/>
        <v>83.66911112901926</v>
      </c>
      <c r="E31" s="432">
        <v>25724</v>
      </c>
      <c r="F31" s="431">
        <f t="shared" si="1"/>
        <v>-19.27771730679521</v>
      </c>
      <c r="G31" s="427">
        <f t="shared" si="3"/>
        <v>-4959</v>
      </c>
    </row>
    <row r="32" spans="1:7" s="427" customFormat="1" ht="14.25" customHeight="1">
      <c r="A32" s="161" t="s">
        <v>36</v>
      </c>
      <c r="B32" s="433">
        <v>52000</v>
      </c>
      <c r="C32" s="433">
        <v>52552</v>
      </c>
      <c r="D32" s="438">
        <f t="shared" si="0"/>
        <v>101.06153846153848</v>
      </c>
      <c r="E32" s="433">
        <v>39860</v>
      </c>
      <c r="F32" s="431">
        <f t="shared" si="1"/>
        <v>31.841445057701957</v>
      </c>
      <c r="G32" s="427">
        <f t="shared" si="3"/>
        <v>12692</v>
      </c>
    </row>
    <row r="33" spans="1:6" s="427" customFormat="1" ht="14.25" customHeight="1">
      <c r="A33" s="161" t="s">
        <v>37</v>
      </c>
      <c r="B33" s="433">
        <v>14106</v>
      </c>
      <c r="C33" s="433">
        <v>14902</v>
      </c>
      <c r="D33" s="438">
        <f t="shared" si="0"/>
        <v>105.64298879909258</v>
      </c>
      <c r="E33" s="433">
        <v>11800</v>
      </c>
      <c r="F33" s="431">
        <f t="shared" si="1"/>
        <v>26.28813559322034</v>
      </c>
    </row>
    <row r="34" spans="1:7" s="427" customFormat="1" ht="14.25" customHeight="1">
      <c r="A34" s="163" t="s">
        <v>38</v>
      </c>
      <c r="B34" s="393">
        <f>SUM(B35:B39)</f>
        <v>11030</v>
      </c>
      <c r="C34" s="393">
        <v>9605</v>
      </c>
      <c r="D34" s="438">
        <f t="shared" si="0"/>
        <v>87.0806890299184</v>
      </c>
      <c r="E34" s="393">
        <f>SUM(E35:E39)</f>
        <v>10050</v>
      </c>
      <c r="F34" s="431">
        <f t="shared" si="1"/>
        <v>-4.4278606965174125</v>
      </c>
      <c r="G34" s="427">
        <f t="shared" si="3"/>
        <v>-445</v>
      </c>
    </row>
    <row r="35" spans="1:6" ht="14.25" customHeight="1">
      <c r="A35" s="161" t="s">
        <v>39</v>
      </c>
      <c r="B35" s="433">
        <v>2695</v>
      </c>
      <c r="C35" s="433">
        <v>3805</v>
      </c>
      <c r="D35" s="438">
        <f t="shared" si="0"/>
        <v>141.1873840445269</v>
      </c>
      <c r="E35" s="433">
        <v>2687</v>
      </c>
      <c r="F35" s="431">
        <f t="shared" si="1"/>
        <v>41.60774097506513</v>
      </c>
    </row>
    <row r="36" spans="1:6" ht="14.25" customHeight="1">
      <c r="A36" s="161" t="s">
        <v>40</v>
      </c>
      <c r="B36" s="433">
        <v>5215</v>
      </c>
      <c r="C36" s="433">
        <v>2518</v>
      </c>
      <c r="D36" s="438">
        <f t="shared" si="0"/>
        <v>48.283796740172576</v>
      </c>
      <c r="E36" s="433">
        <v>4744</v>
      </c>
      <c r="F36" s="431">
        <f t="shared" si="1"/>
        <v>-46.92242833052276</v>
      </c>
    </row>
    <row r="37" spans="1:6" ht="14.25" customHeight="1">
      <c r="A37" s="161" t="s">
        <v>41</v>
      </c>
      <c r="B37" s="433">
        <v>2821</v>
      </c>
      <c r="C37" s="433">
        <v>2981</v>
      </c>
      <c r="D37" s="438">
        <f t="shared" si="0"/>
        <v>105.67174760723148</v>
      </c>
      <c r="E37" s="433">
        <v>2360</v>
      </c>
      <c r="F37" s="431">
        <f t="shared" si="1"/>
        <v>26.313559322033896</v>
      </c>
    </row>
    <row r="38" spans="1:6" ht="14.25" customHeight="1">
      <c r="A38" s="161" t="s">
        <v>42</v>
      </c>
      <c r="B38" s="433">
        <v>0</v>
      </c>
      <c r="C38" s="433"/>
      <c r="D38" s="438"/>
      <c r="E38" s="433"/>
      <c r="F38" s="431"/>
    </row>
    <row r="39" spans="1:6" ht="14.25" customHeight="1">
      <c r="A39" s="161" t="s">
        <v>43</v>
      </c>
      <c r="B39" s="433">
        <v>299</v>
      </c>
      <c r="C39" s="433">
        <v>301</v>
      </c>
      <c r="D39" s="438">
        <f t="shared" si="0"/>
        <v>100.66889632107024</v>
      </c>
      <c r="E39" s="433">
        <v>259</v>
      </c>
      <c r="F39" s="431">
        <f t="shared" si="1"/>
        <v>16.216216216216218</v>
      </c>
    </row>
    <row r="40" spans="1:6" ht="22.5" customHeight="1">
      <c r="A40" s="162" t="s">
        <v>44</v>
      </c>
      <c r="B40" s="393">
        <f>+B29+B30+B34</f>
        <v>243252</v>
      </c>
      <c r="C40" s="393">
        <f>+C29+C30+C34</f>
        <v>231047</v>
      </c>
      <c r="D40" s="438">
        <f t="shared" si="0"/>
        <v>94.98256951638629</v>
      </c>
      <c r="E40" s="393">
        <f>+E29+E30+E34</f>
        <v>231489</v>
      </c>
      <c r="F40" s="431">
        <f t="shared" si="1"/>
        <v>-0.1909377983403099</v>
      </c>
    </row>
    <row r="41" spans="1:6" ht="65.25" customHeight="1">
      <c r="A41" s="458" t="s">
        <v>76</v>
      </c>
      <c r="B41" s="459"/>
      <c r="C41" s="459"/>
      <c r="D41" s="459"/>
      <c r="E41" s="459"/>
      <c r="F41" s="459"/>
    </row>
  </sheetData>
  <sheetProtection/>
  <mergeCells count="1">
    <mergeCell ref="A41:F41"/>
  </mergeCells>
  <printOptions horizontalCentered="1"/>
  <pageMargins left="0.79" right="0.79" top="0.98" bottom="0.98" header="0.2" footer="0.79"/>
  <pageSetup firstPageNumber="3" useFirstPageNumber="1" horizontalDpi="600" verticalDpi="600" orientation="portrait" paperSize="9"/>
  <headerFooter scaleWithDoc="0" alignWithMargins="0">
    <oddFooter>&amp;C第 &amp;P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zoomScalePageLayoutView="0" workbookViewId="0" topLeftCell="A1">
      <selection activeCell="B12" sqref="B12"/>
    </sheetView>
  </sheetViews>
  <sheetFormatPr defaultColWidth="9.00390625" defaultRowHeight="14.25"/>
  <cols>
    <col min="1" max="1" width="29.50390625" style="0" customWidth="1"/>
    <col min="2" max="2" width="22.375" style="73" customWidth="1"/>
    <col min="3" max="5" width="22.375" style="74" customWidth="1"/>
    <col min="6" max="6" width="12.75390625" style="0" bestFit="1" customWidth="1"/>
  </cols>
  <sheetData>
    <row r="1" spans="1:5" ht="39.75" customHeight="1">
      <c r="A1" s="485" t="s">
        <v>1540</v>
      </c>
      <c r="B1" s="485"/>
      <c r="C1" s="485"/>
      <c r="D1" s="485"/>
      <c r="E1" s="485"/>
    </row>
    <row r="2" spans="1:5" ht="19.5" customHeight="1">
      <c r="A2" s="495" t="s">
        <v>131</v>
      </c>
      <c r="B2" s="495"/>
      <c r="C2" s="495"/>
      <c r="D2" s="495"/>
      <c r="E2" s="495"/>
    </row>
    <row r="3" spans="1:5" s="72" customFormat="1" ht="38.25" customHeight="1">
      <c r="A3" s="497" t="s">
        <v>1541</v>
      </c>
      <c r="B3" s="496" t="s">
        <v>1500</v>
      </c>
      <c r="C3" s="496"/>
      <c r="D3" s="496"/>
      <c r="E3" s="496"/>
    </row>
    <row r="4" spans="1:5" s="72" customFormat="1" ht="38.25" customHeight="1">
      <c r="A4" s="498"/>
      <c r="B4" s="75" t="s">
        <v>1542</v>
      </c>
      <c r="C4" s="75" t="s">
        <v>1543</v>
      </c>
      <c r="D4" s="75" t="s">
        <v>1544</v>
      </c>
      <c r="E4" s="75" t="s">
        <v>121</v>
      </c>
    </row>
    <row r="5" spans="1:5" s="72" customFormat="1" ht="38.25" customHeight="1">
      <c r="A5" s="76" t="s">
        <v>1545</v>
      </c>
      <c r="B5" s="77"/>
      <c r="C5" s="77"/>
      <c r="D5" s="77"/>
      <c r="E5" s="77"/>
    </row>
    <row r="6" spans="1:5" s="72" customFormat="1" ht="38.25" customHeight="1">
      <c r="A6" s="78" t="s">
        <v>1546</v>
      </c>
      <c r="B6" s="77"/>
      <c r="C6" s="77"/>
      <c r="D6" s="77"/>
      <c r="E6" s="77"/>
    </row>
    <row r="7" spans="1:5" s="72" customFormat="1" ht="38.25" customHeight="1">
      <c r="A7" s="78" t="s">
        <v>1547</v>
      </c>
      <c r="B7" s="77"/>
      <c r="C7" s="77"/>
      <c r="D7" s="77"/>
      <c r="E7" s="77"/>
    </row>
    <row r="8" spans="1:5" s="72" customFormat="1" ht="38.25" customHeight="1">
      <c r="A8" s="79" t="s">
        <v>1548</v>
      </c>
      <c r="B8" s="77"/>
      <c r="C8" s="77"/>
      <c r="D8" s="77"/>
      <c r="E8" s="77"/>
    </row>
    <row r="9" spans="1:5" ht="38.25" customHeight="1">
      <c r="A9" s="79" t="s">
        <v>1549</v>
      </c>
      <c r="B9" s="77"/>
      <c r="C9" s="77"/>
      <c r="D9" s="77"/>
      <c r="E9" s="77"/>
    </row>
    <row r="10" spans="1:5" ht="38.25" customHeight="1">
      <c r="A10" s="79" t="s">
        <v>1550</v>
      </c>
      <c r="B10" s="80">
        <v>2233.04</v>
      </c>
      <c r="C10" s="77"/>
      <c r="D10" s="77"/>
      <c r="E10" s="80">
        <v>2233.04</v>
      </c>
    </row>
    <row r="11" spans="1:5" ht="38.25" customHeight="1">
      <c r="A11" s="79" t="s">
        <v>1551</v>
      </c>
      <c r="B11" s="80">
        <f>D11+E11</f>
        <v>423.37</v>
      </c>
      <c r="C11" s="77"/>
      <c r="D11" s="81">
        <v>29.3</v>
      </c>
      <c r="E11" s="80">
        <v>394.07</v>
      </c>
    </row>
    <row r="12" spans="1:5" ht="38.25" customHeight="1">
      <c r="A12" s="517" t="s">
        <v>1661</v>
      </c>
      <c r="B12" s="80"/>
      <c r="C12" s="77"/>
      <c r="D12" s="81"/>
      <c r="E12" s="80"/>
    </row>
    <row r="13" spans="1:5" ht="33" customHeight="1">
      <c r="A13" s="82" t="s">
        <v>1552</v>
      </c>
      <c r="B13" s="80">
        <f>B8+B9+B10+B11</f>
        <v>2656.41</v>
      </c>
      <c r="C13" s="77"/>
      <c r="D13" s="81">
        <f>D8+D9+D10+D11</f>
        <v>29.3</v>
      </c>
      <c r="E13" s="80">
        <f>E8+E9+E10+E11</f>
        <v>2627.11</v>
      </c>
    </row>
    <row r="14" ht="38.25" customHeight="1"/>
  </sheetData>
  <sheetProtection/>
  <mergeCells count="4">
    <mergeCell ref="A1:E1"/>
    <mergeCell ref="A2:E2"/>
    <mergeCell ref="B3:E3"/>
    <mergeCell ref="A3:A4"/>
  </mergeCells>
  <printOptions horizontalCentered="1" verticalCentered="1"/>
  <pageMargins left="0.79" right="0.79" top="0.98" bottom="0.98" header="0.51" footer="0.79"/>
  <pageSetup firstPageNumber="78" useFirstPageNumber="1" horizontalDpi="600" verticalDpi="600" orientation="landscape" paperSize="9"/>
  <headerFooter alignWithMargins="0">
    <oddFooter>&amp;C第 &amp;P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6" sqref="D6"/>
    </sheetView>
  </sheetViews>
  <sheetFormatPr defaultColWidth="9.00390625" defaultRowHeight="14.25" customHeight="1"/>
  <cols>
    <col min="1" max="1" width="29.00390625" style="1" customWidth="1"/>
    <col min="2" max="2" width="12.125" style="1" customWidth="1"/>
    <col min="3" max="4" width="13.375" style="1" customWidth="1"/>
    <col min="5" max="5" width="11.375" style="1" customWidth="1"/>
    <col min="6" max="6" width="13.375" style="1" customWidth="1"/>
    <col min="7" max="7" width="12.25390625" style="1" customWidth="1"/>
    <col min="8" max="8" width="10.75390625" style="1" customWidth="1"/>
    <col min="9" max="16384" width="9.00390625" style="1" customWidth="1"/>
  </cols>
  <sheetData>
    <row r="1" spans="1:8" ht="4.5" customHeight="1">
      <c r="A1" s="45"/>
      <c r="B1" s="61"/>
      <c r="C1" s="61"/>
      <c r="D1" s="61"/>
      <c r="E1" s="61"/>
      <c r="F1" s="61"/>
      <c r="G1" s="61"/>
      <c r="H1" s="61"/>
    </row>
    <row r="2" spans="1:8" ht="46.5" customHeight="1">
      <c r="A2" s="499" t="s">
        <v>1553</v>
      </c>
      <c r="B2" s="499"/>
      <c r="C2" s="499"/>
      <c r="D2" s="499"/>
      <c r="E2" s="499"/>
      <c r="F2" s="499"/>
      <c r="G2" s="499"/>
      <c r="H2" s="499"/>
    </row>
    <row r="3" spans="1:8" ht="14.25" customHeight="1">
      <c r="A3" s="62"/>
      <c r="B3" s="62"/>
      <c r="C3" s="62"/>
      <c r="D3" s="62"/>
      <c r="E3" s="62"/>
      <c r="F3" s="62"/>
      <c r="G3" s="62"/>
      <c r="H3" s="62"/>
    </row>
    <row r="4" spans="1:8" ht="12" customHeight="1">
      <c r="A4" s="6"/>
      <c r="B4" s="63"/>
      <c r="C4" s="63"/>
      <c r="D4" s="63"/>
      <c r="E4" s="63"/>
      <c r="F4" s="63"/>
      <c r="G4" s="63"/>
      <c r="H4" s="8" t="s">
        <v>131</v>
      </c>
    </row>
    <row r="5" spans="1:8" ht="36.75" customHeight="1">
      <c r="A5" s="9" t="s">
        <v>1554</v>
      </c>
      <c r="B5" s="24" t="s">
        <v>349</v>
      </c>
      <c r="C5" s="64" t="s">
        <v>1555</v>
      </c>
      <c r="D5" s="64" t="s">
        <v>1556</v>
      </c>
      <c r="E5" s="24" t="s">
        <v>1557</v>
      </c>
      <c r="F5" s="24" t="s">
        <v>1558</v>
      </c>
      <c r="G5" s="24" t="s">
        <v>1559</v>
      </c>
      <c r="H5" s="24" t="s">
        <v>1560</v>
      </c>
    </row>
    <row r="6" spans="1:8" ht="18.75" customHeight="1">
      <c r="A6" s="65" t="s">
        <v>1561</v>
      </c>
      <c r="B6" s="66">
        <f>C6+D6+E6+F6+G6+H6</f>
        <v>104665</v>
      </c>
      <c r="C6" s="67">
        <v>15251</v>
      </c>
      <c r="D6" s="67">
        <v>8336</v>
      </c>
      <c r="E6" s="66">
        <v>4014</v>
      </c>
      <c r="F6" s="66">
        <v>58381</v>
      </c>
      <c r="G6" s="66">
        <v>15662</v>
      </c>
      <c r="H6" s="66">
        <v>3021</v>
      </c>
    </row>
    <row r="7" spans="1:8" ht="18.75" customHeight="1">
      <c r="A7" s="65" t="s">
        <v>1562</v>
      </c>
      <c r="B7" s="66">
        <f aca="true" t="shared" si="0" ref="B7:H7">SUM(B8:B14)</f>
        <v>191222.8</v>
      </c>
      <c r="C7" s="12">
        <f t="shared" si="0"/>
        <v>109172</v>
      </c>
      <c r="D7" s="12">
        <f t="shared" si="0"/>
        <v>38372</v>
      </c>
      <c r="E7" s="12">
        <f t="shared" si="0"/>
        <v>2171.8</v>
      </c>
      <c r="F7" s="12">
        <f t="shared" si="0"/>
        <v>33718</v>
      </c>
      <c r="G7" s="12">
        <f t="shared" si="0"/>
        <v>6355</v>
      </c>
      <c r="H7" s="12">
        <f t="shared" si="0"/>
        <v>1434</v>
      </c>
    </row>
    <row r="8" spans="1:8" ht="18.75" customHeight="1">
      <c r="A8" s="68" t="s">
        <v>1563</v>
      </c>
      <c r="B8" s="66">
        <f aca="true" t="shared" si="1" ref="B8:B14">C8+D8+E8+F8+G8+H8</f>
        <v>109598</v>
      </c>
      <c r="C8" s="12">
        <v>46257</v>
      </c>
      <c r="D8" s="12">
        <v>22723</v>
      </c>
      <c r="E8" s="12">
        <v>1959</v>
      </c>
      <c r="F8" s="12">
        <v>32079</v>
      </c>
      <c r="G8" s="12">
        <v>5226</v>
      </c>
      <c r="H8" s="12">
        <v>1354</v>
      </c>
    </row>
    <row r="9" spans="1:8" ht="18.75" customHeight="1">
      <c r="A9" s="68" t="s">
        <v>1564</v>
      </c>
      <c r="B9" s="66">
        <f t="shared" si="1"/>
        <v>2856</v>
      </c>
      <c r="C9" s="12">
        <v>650</v>
      </c>
      <c r="D9" s="12">
        <v>50</v>
      </c>
      <c r="E9" s="12">
        <v>55</v>
      </c>
      <c r="F9" s="12">
        <v>1639</v>
      </c>
      <c r="G9" s="12">
        <v>382</v>
      </c>
      <c r="H9" s="12">
        <v>80</v>
      </c>
    </row>
    <row r="10" spans="1:8" ht="18.75" customHeight="1">
      <c r="A10" s="11" t="s">
        <v>1565</v>
      </c>
      <c r="B10" s="66">
        <f t="shared" si="1"/>
        <v>75864</v>
      </c>
      <c r="C10" s="12">
        <v>60265</v>
      </c>
      <c r="D10" s="12">
        <v>15599</v>
      </c>
      <c r="E10" s="12"/>
      <c r="F10" s="12"/>
      <c r="G10" s="12"/>
      <c r="H10" s="12"/>
    </row>
    <row r="11" spans="1:8" ht="18.75" customHeight="1">
      <c r="A11" s="11" t="s">
        <v>1566</v>
      </c>
      <c r="B11" s="66">
        <f t="shared" si="1"/>
        <v>2000</v>
      </c>
      <c r="C11" s="12">
        <v>2000</v>
      </c>
      <c r="D11" s="12"/>
      <c r="E11" s="12"/>
      <c r="F11" s="12"/>
      <c r="G11" s="12"/>
      <c r="H11" s="12"/>
    </row>
    <row r="12" spans="1:8" ht="18.75" customHeight="1">
      <c r="A12" s="11" t="s">
        <v>1567</v>
      </c>
      <c r="B12" s="66"/>
      <c r="C12" s="12"/>
      <c r="D12" s="12"/>
      <c r="E12" s="12"/>
      <c r="F12" s="12"/>
      <c r="G12" s="12"/>
      <c r="H12" s="12"/>
    </row>
    <row r="13" spans="1:8" ht="18.75" customHeight="1">
      <c r="A13" s="11" t="s">
        <v>1568</v>
      </c>
      <c r="B13" s="66"/>
      <c r="C13" s="12"/>
      <c r="D13" s="12"/>
      <c r="E13" s="12"/>
      <c r="F13" s="12"/>
      <c r="G13" s="12"/>
      <c r="H13" s="12"/>
    </row>
    <row r="14" spans="1:8" ht="18.75" customHeight="1">
      <c r="A14" s="11" t="s">
        <v>1569</v>
      </c>
      <c r="B14" s="66">
        <f t="shared" si="1"/>
        <v>904.8</v>
      </c>
      <c r="C14" s="12"/>
      <c r="D14" s="12"/>
      <c r="E14" s="12">
        <v>157.8</v>
      </c>
      <c r="F14" s="12"/>
      <c r="G14" s="12">
        <v>747</v>
      </c>
      <c r="H14" s="12"/>
    </row>
    <row r="15" spans="1:8" ht="18.75" customHeight="1">
      <c r="A15" s="68" t="s">
        <v>1570</v>
      </c>
      <c r="B15" s="66">
        <f aca="true" t="shared" si="2" ref="B15:H15">SUM(B16:B20)</f>
        <v>202306.6</v>
      </c>
      <c r="C15" s="12">
        <f t="shared" si="2"/>
        <v>124346</v>
      </c>
      <c r="D15" s="12">
        <f t="shared" si="2"/>
        <v>38322</v>
      </c>
      <c r="E15" s="12">
        <f t="shared" si="2"/>
        <v>1685.6</v>
      </c>
      <c r="F15" s="12">
        <f t="shared" si="2"/>
        <v>31159</v>
      </c>
      <c r="G15" s="12">
        <f t="shared" si="2"/>
        <v>5108</v>
      </c>
      <c r="H15" s="12">
        <f t="shared" si="2"/>
        <v>1686</v>
      </c>
    </row>
    <row r="16" spans="1:8" ht="18.75" customHeight="1">
      <c r="A16" s="68" t="s">
        <v>1571</v>
      </c>
      <c r="B16" s="66">
        <f aca="true" t="shared" si="3" ref="B16:B22">C16+D16+E16+F16+G16+H16</f>
        <v>199602.6</v>
      </c>
      <c r="C16" s="12">
        <v>122169</v>
      </c>
      <c r="D16" s="12">
        <v>38322</v>
      </c>
      <c r="E16" s="12">
        <v>1580.6</v>
      </c>
      <c r="F16" s="12">
        <v>31159</v>
      </c>
      <c r="G16" s="12">
        <v>4686</v>
      </c>
      <c r="H16" s="12">
        <v>1686</v>
      </c>
    </row>
    <row r="17" spans="1:8" ht="18.75" customHeight="1">
      <c r="A17" s="68" t="s">
        <v>1572</v>
      </c>
      <c r="B17" s="66">
        <f t="shared" si="3"/>
        <v>2177</v>
      </c>
      <c r="C17" s="12">
        <v>2177</v>
      </c>
      <c r="D17" s="12"/>
      <c r="E17" s="12"/>
      <c r="F17" s="12"/>
      <c r="G17" s="12"/>
      <c r="H17" s="12"/>
    </row>
    <row r="18" spans="1:8" ht="18.75" customHeight="1">
      <c r="A18" s="11" t="s">
        <v>1573</v>
      </c>
      <c r="B18" s="66"/>
      <c r="C18" s="12"/>
      <c r="D18" s="12"/>
      <c r="E18" s="12"/>
      <c r="F18" s="12"/>
      <c r="G18" s="12"/>
      <c r="H18" s="12"/>
    </row>
    <row r="19" spans="1:8" ht="18.75" customHeight="1">
      <c r="A19" s="69" t="s">
        <v>1574</v>
      </c>
      <c r="B19" s="66"/>
      <c r="C19" s="12"/>
      <c r="D19" s="12"/>
      <c r="E19" s="12"/>
      <c r="F19" s="12"/>
      <c r="G19" s="12"/>
      <c r="H19" s="12"/>
    </row>
    <row r="20" spans="1:8" ht="18.75" customHeight="1">
      <c r="A20" s="69" t="s">
        <v>1575</v>
      </c>
      <c r="B20" s="66">
        <f t="shared" si="3"/>
        <v>527</v>
      </c>
      <c r="C20" s="12"/>
      <c r="D20" s="12"/>
      <c r="E20" s="12">
        <v>105</v>
      </c>
      <c r="F20" s="12"/>
      <c r="G20" s="12">
        <v>422</v>
      </c>
      <c r="H20" s="12"/>
    </row>
    <row r="21" spans="1:8" ht="18.75" customHeight="1">
      <c r="A21" s="65" t="s">
        <v>1576</v>
      </c>
      <c r="B21" s="66">
        <f t="shared" si="3"/>
        <v>-11083.8</v>
      </c>
      <c r="C21" s="12">
        <f aca="true" t="shared" si="4" ref="C21:H21">C7-C15</f>
        <v>-15174</v>
      </c>
      <c r="D21" s="12">
        <f t="shared" si="4"/>
        <v>50</v>
      </c>
      <c r="E21" s="12">
        <f t="shared" si="4"/>
        <v>486.2000000000003</v>
      </c>
      <c r="F21" s="12">
        <f t="shared" si="4"/>
        <v>2559</v>
      </c>
      <c r="G21" s="12">
        <f t="shared" si="4"/>
        <v>1247</v>
      </c>
      <c r="H21" s="12">
        <f t="shared" si="4"/>
        <v>-252</v>
      </c>
    </row>
    <row r="22" spans="1:8" ht="18.75" customHeight="1">
      <c r="A22" s="68" t="s">
        <v>1577</v>
      </c>
      <c r="B22" s="66">
        <f t="shared" si="3"/>
        <v>93581.2</v>
      </c>
      <c r="C22" s="12">
        <f aca="true" t="shared" si="5" ref="C22:H22">C6+C21</f>
        <v>77</v>
      </c>
      <c r="D22" s="12">
        <f t="shared" si="5"/>
        <v>8386</v>
      </c>
      <c r="E22" s="12">
        <f t="shared" si="5"/>
        <v>4500.200000000001</v>
      </c>
      <c r="F22" s="12">
        <f t="shared" si="5"/>
        <v>60940</v>
      </c>
      <c r="G22" s="12">
        <f t="shared" si="5"/>
        <v>16909</v>
      </c>
      <c r="H22" s="12">
        <f t="shared" si="5"/>
        <v>2769</v>
      </c>
    </row>
    <row r="23" spans="1:8" ht="27.75" customHeight="1">
      <c r="A23" s="70"/>
      <c r="B23" s="71"/>
      <c r="C23" s="71"/>
      <c r="D23" s="71"/>
      <c r="E23" s="71"/>
      <c r="F23" s="71"/>
      <c r="G23" s="71"/>
      <c r="H23" s="71"/>
    </row>
  </sheetData>
  <sheetProtection/>
  <mergeCells count="1">
    <mergeCell ref="A2:H2"/>
  </mergeCells>
  <printOptions horizontalCentered="1"/>
  <pageMargins left="0.75" right="0.75" top="0.98" bottom="0.98" header="0.51" footer="0.79"/>
  <pageSetup errors="blank" firstPageNumber="79" useFirstPageNumber="1" horizontalDpi="600" verticalDpi="600" orientation="landscape" paperSize="9"/>
  <headerFooter alignWithMargins="0">
    <oddFooter>&amp;C第 &amp;P 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6" sqref="D6"/>
    </sheetView>
  </sheetViews>
  <sheetFormatPr defaultColWidth="9.00390625" defaultRowHeight="14.25" customHeight="1"/>
  <cols>
    <col min="1" max="1" width="22.50390625" style="1" customWidth="1"/>
    <col min="2" max="2" width="13.625" style="1" customWidth="1"/>
    <col min="3" max="3" width="14.00390625" style="1" customWidth="1"/>
    <col min="4" max="4" width="9.75390625" style="1" customWidth="1"/>
    <col min="5" max="5" width="20.25390625" style="1" customWidth="1"/>
    <col min="6" max="6" width="15.25390625" style="1" customWidth="1"/>
    <col min="7" max="7" width="14.625" style="1" customWidth="1"/>
    <col min="8" max="8" width="9.75390625" style="1" customWidth="1"/>
    <col min="9" max="16384" width="9.00390625" style="1" customWidth="1"/>
  </cols>
  <sheetData>
    <row r="1" spans="1:8" ht="4.5" customHeight="1">
      <c r="A1" s="2"/>
      <c r="B1" s="45"/>
      <c r="C1" s="45"/>
      <c r="D1" s="45"/>
      <c r="E1" s="45"/>
      <c r="F1" s="45"/>
      <c r="G1" s="45"/>
      <c r="H1" s="45"/>
    </row>
    <row r="2" spans="1:8" ht="33" customHeight="1">
      <c r="A2" s="499" t="s">
        <v>1578</v>
      </c>
      <c r="B2" s="499"/>
      <c r="C2" s="499"/>
      <c r="D2" s="499"/>
      <c r="E2" s="499"/>
      <c r="F2" s="499"/>
      <c r="G2" s="499"/>
      <c r="H2" s="40"/>
    </row>
    <row r="3" spans="1:8" ht="15.75" customHeight="1">
      <c r="A3" s="49"/>
      <c r="B3" s="49"/>
      <c r="C3" s="49"/>
      <c r="D3" s="49"/>
      <c r="E3" s="49"/>
      <c r="F3" s="49"/>
      <c r="G3" s="5"/>
      <c r="H3" s="5"/>
    </row>
    <row r="4" spans="1:8" ht="15" customHeight="1">
      <c r="A4" s="500" t="s">
        <v>131</v>
      </c>
      <c r="B4" s="500"/>
      <c r="C4" s="500"/>
      <c r="D4" s="500"/>
      <c r="E4" s="500"/>
      <c r="F4" s="500"/>
      <c r="G4" s="500"/>
      <c r="H4" s="500"/>
    </row>
    <row r="5" spans="1:8" ht="44.25" customHeight="1">
      <c r="A5" s="55" t="s">
        <v>1579</v>
      </c>
      <c r="B5" s="56" t="s">
        <v>1580</v>
      </c>
      <c r="C5" s="55" t="s">
        <v>348</v>
      </c>
      <c r="D5" s="57" t="s">
        <v>1581</v>
      </c>
      <c r="E5" s="55" t="s">
        <v>1582</v>
      </c>
      <c r="F5" s="56" t="s">
        <v>1580</v>
      </c>
      <c r="G5" s="58" t="s">
        <v>348</v>
      </c>
      <c r="H5" s="59" t="s">
        <v>1581</v>
      </c>
    </row>
    <row r="6" spans="1:8" ht="29.25" customHeight="1">
      <c r="A6" s="11" t="s">
        <v>1583</v>
      </c>
      <c r="B6" s="12">
        <v>62000</v>
      </c>
      <c r="C6" s="12">
        <v>46257</v>
      </c>
      <c r="D6" s="53">
        <f>(C6-B6)/B6*100</f>
        <v>-25.39193548387097</v>
      </c>
      <c r="E6" s="14" t="s">
        <v>1584</v>
      </c>
      <c r="F6" s="12">
        <v>117847</v>
      </c>
      <c r="G6" s="12">
        <v>118418</v>
      </c>
      <c r="H6" s="53">
        <f aca="true" t="shared" si="0" ref="H6:H16">(G6-F6)/F6*100</f>
        <v>0.4845265471331472</v>
      </c>
    </row>
    <row r="7" spans="1:11" ht="29.25" customHeight="1">
      <c r="A7" s="11" t="s">
        <v>1585</v>
      </c>
      <c r="B7" s="12">
        <v>600</v>
      </c>
      <c r="C7" s="12">
        <v>650</v>
      </c>
      <c r="D7" s="53">
        <f aca="true" t="shared" si="1" ref="D7:D16">(C7-B7)/B7*100</f>
        <v>8.333333333333332</v>
      </c>
      <c r="E7" s="14" t="s">
        <v>1586</v>
      </c>
      <c r="F7" s="12"/>
      <c r="G7" s="12"/>
      <c r="H7" s="53"/>
      <c r="K7" s="60"/>
    </row>
    <row r="8" spans="1:8" ht="29.25" customHeight="1">
      <c r="A8" s="11" t="s">
        <v>1587</v>
      </c>
      <c r="B8" s="12">
        <v>54786</v>
      </c>
      <c r="C8" s="12">
        <v>60265</v>
      </c>
      <c r="D8" s="53">
        <f t="shared" si="1"/>
        <v>10.000730113532654</v>
      </c>
      <c r="E8" s="14" t="s">
        <v>1588</v>
      </c>
      <c r="F8" s="12">
        <v>3410</v>
      </c>
      <c r="G8" s="12">
        <v>3751</v>
      </c>
      <c r="H8" s="53">
        <f t="shared" si="0"/>
        <v>10</v>
      </c>
    </row>
    <row r="9" spans="1:8" ht="29.25" customHeight="1">
      <c r="A9" s="11" t="s">
        <v>1589</v>
      </c>
      <c r="B9" s="12"/>
      <c r="C9" s="12"/>
      <c r="D9" s="53"/>
      <c r="E9" s="14" t="s">
        <v>1590</v>
      </c>
      <c r="F9" s="12"/>
      <c r="G9" s="12"/>
      <c r="H9" s="53"/>
    </row>
    <row r="10" spans="1:8" ht="29.25" customHeight="1">
      <c r="A10" s="11" t="s">
        <v>1591</v>
      </c>
      <c r="B10" s="12"/>
      <c r="C10" s="12"/>
      <c r="D10" s="53"/>
      <c r="E10" s="14" t="s">
        <v>1592</v>
      </c>
      <c r="F10" s="12"/>
      <c r="G10" s="12"/>
      <c r="H10" s="53"/>
    </row>
    <row r="11" spans="1:8" ht="29.25" customHeight="1">
      <c r="A11" s="11" t="s">
        <v>1593</v>
      </c>
      <c r="B11" s="12"/>
      <c r="C11" s="12"/>
      <c r="D11" s="53"/>
      <c r="E11" s="14" t="s">
        <v>1594</v>
      </c>
      <c r="F11" s="12"/>
      <c r="G11" s="12"/>
      <c r="H11" s="53"/>
    </row>
    <row r="12" spans="1:8" ht="29.25" customHeight="1">
      <c r="A12" s="11" t="s">
        <v>1595</v>
      </c>
      <c r="B12" s="12">
        <v>2121</v>
      </c>
      <c r="C12" s="12">
        <v>2000</v>
      </c>
      <c r="D12" s="53">
        <f t="shared" si="1"/>
        <v>-5.704856199905705</v>
      </c>
      <c r="E12" s="14" t="s">
        <v>1596</v>
      </c>
      <c r="F12" s="12">
        <v>1980</v>
      </c>
      <c r="G12" s="12">
        <v>2177</v>
      </c>
      <c r="H12" s="53">
        <f t="shared" si="0"/>
        <v>9.94949494949495</v>
      </c>
    </row>
    <row r="13" spans="1:8" ht="29.25" customHeight="1">
      <c r="A13" s="11" t="s">
        <v>1597</v>
      </c>
      <c r="B13" s="12">
        <f aca="true" t="shared" si="2" ref="B13:G13">SUM(B6:B12)</f>
        <v>119507</v>
      </c>
      <c r="C13" s="12">
        <f t="shared" si="2"/>
        <v>109172</v>
      </c>
      <c r="D13" s="53">
        <f t="shared" si="1"/>
        <v>-8.64802898574979</v>
      </c>
      <c r="E13" s="18" t="s">
        <v>1598</v>
      </c>
      <c r="F13" s="12">
        <f t="shared" si="2"/>
        <v>123237</v>
      </c>
      <c r="G13" s="12">
        <f t="shared" si="2"/>
        <v>124346</v>
      </c>
      <c r="H13" s="53">
        <f t="shared" si="0"/>
        <v>0.8998920778662254</v>
      </c>
    </row>
    <row r="14" spans="1:8" ht="29.25" customHeight="1">
      <c r="A14" s="21"/>
      <c r="B14" s="12"/>
      <c r="C14" s="12"/>
      <c r="D14" s="53"/>
      <c r="E14" s="18" t="s">
        <v>1599</v>
      </c>
      <c r="F14" s="12">
        <f>B13-F13</f>
        <v>-3730</v>
      </c>
      <c r="G14" s="12">
        <f>C13-G13</f>
        <v>-15174</v>
      </c>
      <c r="H14" s="53">
        <f t="shared" si="0"/>
        <v>306.8096514745308</v>
      </c>
    </row>
    <row r="15" spans="1:8" ht="29.25" customHeight="1">
      <c r="A15" s="11" t="s">
        <v>1600</v>
      </c>
      <c r="B15" s="12">
        <v>18981</v>
      </c>
      <c r="C15" s="12">
        <f>F15</f>
        <v>15251</v>
      </c>
      <c r="D15" s="53">
        <f t="shared" si="1"/>
        <v>-19.651230177545965</v>
      </c>
      <c r="E15" s="18" t="s">
        <v>1601</v>
      </c>
      <c r="F15" s="12">
        <f>B13-F13+B15</f>
        <v>15251</v>
      </c>
      <c r="G15" s="12">
        <f>C13-G13+F15</f>
        <v>77</v>
      </c>
      <c r="H15" s="53">
        <f t="shared" si="0"/>
        <v>-99.49511507442135</v>
      </c>
    </row>
    <row r="16" spans="1:8" ht="29.25" customHeight="1">
      <c r="A16" s="9" t="s">
        <v>1602</v>
      </c>
      <c r="B16" s="12">
        <f aca="true" t="shared" si="3" ref="B16:G16">B13+B15</f>
        <v>138488</v>
      </c>
      <c r="C16" s="12">
        <f t="shared" si="3"/>
        <v>124423</v>
      </c>
      <c r="D16" s="53">
        <f t="shared" si="1"/>
        <v>-10.156114609208018</v>
      </c>
      <c r="E16" s="48" t="s">
        <v>1602</v>
      </c>
      <c r="F16" s="12">
        <f t="shared" si="3"/>
        <v>138488</v>
      </c>
      <c r="G16" s="12">
        <f t="shared" si="3"/>
        <v>124423</v>
      </c>
      <c r="H16" s="53">
        <f t="shared" si="0"/>
        <v>-10.156114609208018</v>
      </c>
    </row>
  </sheetData>
  <sheetProtection/>
  <mergeCells count="2">
    <mergeCell ref="A2:G2"/>
    <mergeCell ref="A4:H4"/>
  </mergeCells>
  <printOptions horizontalCentered="1"/>
  <pageMargins left="0.75" right="0.75" top="0.98" bottom="0.98" header="0.51" footer="0.79"/>
  <pageSetup errors="blank" firstPageNumber="80" useFirstPageNumber="1" horizontalDpi="600" verticalDpi="600" orientation="landscape" paperSize="9"/>
  <headerFooter alignWithMargins="0">
    <oddFooter>&amp;C第 &amp;P 页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6" sqref="D6"/>
    </sheetView>
  </sheetViews>
  <sheetFormatPr defaultColWidth="9.00390625" defaultRowHeight="14.25" customHeight="1"/>
  <cols>
    <col min="1" max="1" width="26.125" style="1" customWidth="1"/>
    <col min="2" max="3" width="14.125" style="1" customWidth="1"/>
    <col min="4" max="4" width="9.25390625" style="1" customWidth="1"/>
    <col min="5" max="5" width="19.875" style="1" customWidth="1"/>
    <col min="6" max="7" width="14.125" style="1" customWidth="1"/>
    <col min="8" max="8" width="9.25390625" style="1" customWidth="1"/>
    <col min="9" max="16384" width="9.00390625" style="1" customWidth="1"/>
  </cols>
  <sheetData>
    <row r="1" spans="1:8" ht="6" customHeight="1">
      <c r="A1" s="2"/>
      <c r="B1" s="45"/>
      <c r="C1" s="45"/>
      <c r="D1" s="45"/>
      <c r="E1" s="45"/>
      <c r="F1" s="45"/>
      <c r="G1" s="45"/>
      <c r="H1" s="45"/>
    </row>
    <row r="2" spans="1:8" ht="44.25" customHeight="1">
      <c r="A2" s="499" t="s">
        <v>1603</v>
      </c>
      <c r="B2" s="499"/>
      <c r="C2" s="499"/>
      <c r="D2" s="499"/>
      <c r="E2" s="499"/>
      <c r="F2" s="499"/>
      <c r="G2" s="499"/>
      <c r="H2" s="40"/>
    </row>
    <row r="3" spans="1:8" ht="15" customHeight="1">
      <c r="A3" s="49"/>
      <c r="B3" s="49"/>
      <c r="C3" s="49"/>
      <c r="D3" s="49"/>
      <c r="E3" s="49"/>
      <c r="F3" s="49"/>
      <c r="G3" s="5"/>
      <c r="H3" s="5"/>
    </row>
    <row r="4" spans="1:8" ht="12.75" customHeight="1">
      <c r="A4" s="6"/>
      <c r="B4" s="6"/>
      <c r="C4" s="6"/>
      <c r="D4" s="50"/>
      <c r="E4" s="6"/>
      <c r="F4" s="7"/>
      <c r="G4" s="500" t="s">
        <v>131</v>
      </c>
      <c r="H4" s="500"/>
    </row>
    <row r="5" spans="1:8" ht="30.75" customHeight="1">
      <c r="A5" s="9" t="s">
        <v>1579</v>
      </c>
      <c r="B5" s="24" t="s">
        <v>1580</v>
      </c>
      <c r="C5" s="10" t="s">
        <v>348</v>
      </c>
      <c r="D5" s="51" t="s">
        <v>1581</v>
      </c>
      <c r="E5" s="52" t="s">
        <v>1582</v>
      </c>
      <c r="F5" s="24" t="s">
        <v>1580</v>
      </c>
      <c r="G5" s="10" t="s">
        <v>348</v>
      </c>
      <c r="H5" s="51" t="s">
        <v>1581</v>
      </c>
    </row>
    <row r="6" spans="1:8" ht="29.25" customHeight="1">
      <c r="A6" s="11" t="s">
        <v>1583</v>
      </c>
      <c r="B6" s="12">
        <v>3180</v>
      </c>
      <c r="C6" s="12">
        <v>22723</v>
      </c>
      <c r="D6" s="53">
        <f>(C6-B6)/B6*100</f>
        <v>614.559748427673</v>
      </c>
      <c r="E6" s="14" t="s">
        <v>1584</v>
      </c>
      <c r="F6" s="12">
        <v>1900</v>
      </c>
      <c r="G6" s="12">
        <v>38322</v>
      </c>
      <c r="H6" s="53">
        <f>(G6-F6)/F6*100</f>
        <v>1916.9473684210527</v>
      </c>
    </row>
    <row r="7" spans="1:8" ht="29.25" customHeight="1">
      <c r="A7" s="11" t="s">
        <v>1585</v>
      </c>
      <c r="B7" s="12">
        <v>180</v>
      </c>
      <c r="C7" s="12">
        <v>50</v>
      </c>
      <c r="D7" s="53">
        <f>(C7-B7)/B7*100</f>
        <v>-72.22222222222221</v>
      </c>
      <c r="E7" s="14" t="s">
        <v>1604</v>
      </c>
      <c r="F7" s="12"/>
      <c r="G7" s="12"/>
      <c r="H7" s="53"/>
    </row>
    <row r="8" spans="1:8" ht="29.25" customHeight="1">
      <c r="A8" s="11" t="s">
        <v>1587</v>
      </c>
      <c r="B8" s="12"/>
      <c r="C8" s="12">
        <v>15599</v>
      </c>
      <c r="D8" s="53"/>
      <c r="E8" s="54"/>
      <c r="F8" s="12"/>
      <c r="G8" s="12"/>
      <c r="H8" s="53"/>
    </row>
    <row r="9" spans="1:8" ht="29.25" customHeight="1">
      <c r="A9" s="11" t="s">
        <v>1589</v>
      </c>
      <c r="B9" s="12"/>
      <c r="C9" s="12"/>
      <c r="D9" s="53"/>
      <c r="E9" s="54"/>
      <c r="F9" s="12"/>
      <c r="G9" s="12"/>
      <c r="H9" s="53"/>
    </row>
    <row r="10" spans="1:8" ht="29.25" customHeight="1">
      <c r="A10" s="11" t="s">
        <v>1591</v>
      </c>
      <c r="B10" s="12"/>
      <c r="C10" s="12"/>
      <c r="D10" s="53"/>
      <c r="E10" s="14" t="s">
        <v>1605</v>
      </c>
      <c r="F10" s="12"/>
      <c r="G10" s="12"/>
      <c r="H10" s="53"/>
    </row>
    <row r="11" spans="1:8" ht="29.25" customHeight="1">
      <c r="A11" s="11" t="s">
        <v>1593</v>
      </c>
      <c r="B11" s="12"/>
      <c r="C11" s="12"/>
      <c r="D11" s="53"/>
      <c r="E11" s="14" t="s">
        <v>1606</v>
      </c>
      <c r="F11" s="12"/>
      <c r="G11" s="12"/>
      <c r="H11" s="53"/>
    </row>
    <row r="12" spans="1:8" ht="29.25" customHeight="1">
      <c r="A12" s="11" t="s">
        <v>1595</v>
      </c>
      <c r="B12" s="12"/>
      <c r="C12" s="12"/>
      <c r="D12" s="53"/>
      <c r="E12" s="14" t="s">
        <v>1495</v>
      </c>
      <c r="F12" s="12"/>
      <c r="G12" s="12"/>
      <c r="H12" s="53"/>
    </row>
    <row r="13" spans="1:8" ht="29.25" customHeight="1">
      <c r="A13" s="11" t="s">
        <v>1597</v>
      </c>
      <c r="B13" s="12">
        <f aca="true" t="shared" si="0" ref="B13:G13">SUM(B6:B12)</f>
        <v>3360</v>
      </c>
      <c r="C13" s="12">
        <f t="shared" si="0"/>
        <v>38372</v>
      </c>
      <c r="D13" s="53">
        <f>(C13-B13)/B13*100</f>
        <v>1042.0238095238096</v>
      </c>
      <c r="E13" s="14" t="s">
        <v>1607</v>
      </c>
      <c r="F13" s="12">
        <f t="shared" si="0"/>
        <v>1900</v>
      </c>
      <c r="G13" s="12">
        <f t="shared" si="0"/>
        <v>38322</v>
      </c>
      <c r="H13" s="53">
        <f>(G13-F13)/F13*100</f>
        <v>1916.9473684210527</v>
      </c>
    </row>
    <row r="14" spans="1:8" ht="29.25" customHeight="1">
      <c r="A14" s="21"/>
      <c r="B14" s="12"/>
      <c r="C14" s="12"/>
      <c r="D14" s="53"/>
      <c r="E14" s="14" t="s">
        <v>1608</v>
      </c>
      <c r="F14" s="12">
        <f>B13-F13</f>
        <v>1460</v>
      </c>
      <c r="G14" s="12">
        <f>C13-G13</f>
        <v>50</v>
      </c>
      <c r="H14" s="53">
        <f>(G14-F14)/F14*100</f>
        <v>-96.57534246575342</v>
      </c>
    </row>
    <row r="15" spans="1:8" ht="29.25" customHeight="1">
      <c r="A15" s="11" t="s">
        <v>1600</v>
      </c>
      <c r="B15" s="12">
        <v>6876</v>
      </c>
      <c r="C15" s="12">
        <f>F15</f>
        <v>8336</v>
      </c>
      <c r="D15" s="53">
        <f>(C15-B15)/B15*100</f>
        <v>21.23327515997673</v>
      </c>
      <c r="E15" s="14" t="s">
        <v>1609</v>
      </c>
      <c r="F15" s="12">
        <f>F14+B15</f>
        <v>8336</v>
      </c>
      <c r="G15" s="12">
        <f>G14+C15</f>
        <v>8386</v>
      </c>
      <c r="H15" s="53">
        <f>(G15-F15)/F15*100</f>
        <v>0.5998080614203455</v>
      </c>
    </row>
    <row r="16" spans="1:8" ht="29.25" customHeight="1">
      <c r="A16" s="9" t="s">
        <v>1602</v>
      </c>
      <c r="B16" s="12">
        <f aca="true" t="shared" si="1" ref="B16:G16">B13+B15</f>
        <v>10236</v>
      </c>
      <c r="C16" s="12">
        <f t="shared" si="1"/>
        <v>46708</v>
      </c>
      <c r="D16" s="53">
        <f>(C16-B16)/B16*100</f>
        <v>356.3110590074248</v>
      </c>
      <c r="E16" s="22" t="s">
        <v>1602</v>
      </c>
      <c r="F16" s="12">
        <f t="shared" si="1"/>
        <v>10236</v>
      </c>
      <c r="G16" s="12">
        <f t="shared" si="1"/>
        <v>46708</v>
      </c>
      <c r="H16" s="53">
        <f>(G16-F16)/F16*100</f>
        <v>356.3110590074248</v>
      </c>
    </row>
  </sheetData>
  <sheetProtection/>
  <mergeCells count="2">
    <mergeCell ref="A2:G2"/>
    <mergeCell ref="G4:H4"/>
  </mergeCells>
  <printOptions horizontalCentered="1"/>
  <pageMargins left="0.75" right="0.75" top="0.98" bottom="0.98" header="0.51" footer="0.79"/>
  <pageSetup firstPageNumber="81" useFirstPageNumber="1" horizontalDpi="600" verticalDpi="600" orientation="landscape" paperSize="9"/>
  <headerFooter alignWithMargins="0">
    <oddFooter>&amp;C第 &amp;P 页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6" sqref="D6"/>
    </sheetView>
  </sheetViews>
  <sheetFormatPr defaultColWidth="9.00390625" defaultRowHeight="14.25" customHeight="1"/>
  <cols>
    <col min="1" max="1" width="20.50390625" style="1" customWidth="1"/>
    <col min="2" max="3" width="15.125" style="1" customWidth="1"/>
    <col min="4" max="4" width="9.875" style="1" customWidth="1"/>
    <col min="5" max="5" width="20.625" style="1" customWidth="1"/>
    <col min="6" max="7" width="15.125" style="1" customWidth="1"/>
    <col min="8" max="8" width="8.625" style="1" customWidth="1"/>
    <col min="9" max="16384" width="9.00390625" style="1" customWidth="1"/>
  </cols>
  <sheetData>
    <row r="1" spans="1:8" ht="5.25" customHeight="1">
      <c r="A1" s="2"/>
      <c r="B1" s="45"/>
      <c r="C1" s="45"/>
      <c r="D1" s="45"/>
      <c r="E1" s="45"/>
      <c r="F1" s="45"/>
      <c r="G1" s="45"/>
      <c r="H1" s="45"/>
    </row>
    <row r="2" spans="1:8" ht="39.75" customHeight="1">
      <c r="A2" s="499" t="s">
        <v>1610</v>
      </c>
      <c r="B2" s="499"/>
      <c r="C2" s="499"/>
      <c r="D2" s="499"/>
      <c r="E2" s="499"/>
      <c r="F2" s="499"/>
      <c r="G2" s="499"/>
      <c r="H2" s="40"/>
    </row>
    <row r="3" spans="1:8" ht="15" customHeight="1">
      <c r="A3" s="4"/>
      <c r="B3" s="4"/>
      <c r="C3" s="4"/>
      <c r="D3" s="4"/>
      <c r="E3" s="4"/>
      <c r="F3" s="4"/>
      <c r="G3" s="5"/>
      <c r="H3" s="5"/>
    </row>
    <row r="4" spans="1:8" ht="15" customHeight="1">
      <c r="A4" s="6"/>
      <c r="B4" s="6"/>
      <c r="C4" s="6"/>
      <c r="D4" s="6"/>
      <c r="E4" s="6"/>
      <c r="F4" s="7"/>
      <c r="G4" s="501" t="s">
        <v>131</v>
      </c>
      <c r="H4" s="501"/>
    </row>
    <row r="5" spans="1:8" ht="30.75" customHeight="1">
      <c r="A5" s="9" t="s">
        <v>1554</v>
      </c>
      <c r="B5" s="24" t="s">
        <v>1580</v>
      </c>
      <c r="C5" s="9" t="s">
        <v>348</v>
      </c>
      <c r="D5" s="9" t="s">
        <v>1581</v>
      </c>
      <c r="E5" s="9" t="s">
        <v>1611</v>
      </c>
      <c r="F5" s="24" t="s">
        <v>1580</v>
      </c>
      <c r="G5" s="10" t="s">
        <v>348</v>
      </c>
      <c r="H5" s="9" t="s">
        <v>1581</v>
      </c>
    </row>
    <row r="6" spans="1:8" ht="23.25" customHeight="1">
      <c r="A6" s="11" t="s">
        <v>1612</v>
      </c>
      <c r="B6" s="12">
        <v>2100</v>
      </c>
      <c r="C6" s="12">
        <v>1959</v>
      </c>
      <c r="D6" s="13">
        <f>(C6-B6)/B6*100</f>
        <v>-6.714285714285714</v>
      </c>
      <c r="E6" s="14" t="s">
        <v>1613</v>
      </c>
      <c r="F6" s="12">
        <v>1400</v>
      </c>
      <c r="G6" s="12">
        <v>1399.87662</v>
      </c>
      <c r="H6" s="13"/>
    </row>
    <row r="7" spans="1:8" ht="23.25" customHeight="1">
      <c r="A7" s="11" t="s">
        <v>1585</v>
      </c>
      <c r="B7" s="12">
        <v>46.85</v>
      </c>
      <c r="C7" s="12">
        <v>55.3111</v>
      </c>
      <c r="D7" s="13">
        <f>(C7-B7)/B7*100</f>
        <v>18.059978655282823</v>
      </c>
      <c r="E7" s="14" t="s">
        <v>1586</v>
      </c>
      <c r="F7" s="12">
        <v>199</v>
      </c>
      <c r="G7" s="12">
        <v>180.888</v>
      </c>
      <c r="H7" s="13">
        <f aca="true" t="shared" si="0" ref="H7:H19">(G7-F7)/F7*100</f>
        <v>-9.10150753768844</v>
      </c>
    </row>
    <row r="8" spans="1:8" ht="23.25" customHeight="1">
      <c r="A8" s="11" t="s">
        <v>1587</v>
      </c>
      <c r="B8" s="12"/>
      <c r="C8" s="12"/>
      <c r="D8" s="13"/>
      <c r="E8" s="14" t="s">
        <v>1588</v>
      </c>
      <c r="F8" s="12"/>
      <c r="G8" s="12"/>
      <c r="H8" s="13"/>
    </row>
    <row r="9" spans="1:8" ht="23.25" customHeight="1">
      <c r="A9" s="46"/>
      <c r="B9" s="12"/>
      <c r="C9" s="12"/>
      <c r="D9" s="13"/>
      <c r="E9" s="14" t="s">
        <v>1614</v>
      </c>
      <c r="F9" s="12"/>
      <c r="G9" s="12"/>
      <c r="H9" s="13"/>
    </row>
    <row r="10" spans="1:8" ht="23.25" customHeight="1">
      <c r="A10" s="47"/>
      <c r="B10" s="12"/>
      <c r="C10" s="12"/>
      <c r="D10" s="13"/>
      <c r="E10" s="14" t="s">
        <v>1615</v>
      </c>
      <c r="F10" s="12"/>
      <c r="G10" s="12"/>
      <c r="H10" s="13"/>
    </row>
    <row r="11" spans="1:8" ht="23.25" customHeight="1">
      <c r="A11" s="21"/>
      <c r="B11" s="12"/>
      <c r="C11" s="12"/>
      <c r="D11" s="13"/>
      <c r="E11" s="14" t="s">
        <v>1616</v>
      </c>
      <c r="F11" s="12"/>
      <c r="G11" s="12"/>
      <c r="H11" s="13"/>
    </row>
    <row r="12" spans="1:8" ht="23.25" customHeight="1">
      <c r="A12" s="11" t="s">
        <v>1589</v>
      </c>
      <c r="B12" s="12"/>
      <c r="C12" s="12"/>
      <c r="D12" s="13"/>
      <c r="E12" s="14" t="s">
        <v>1617</v>
      </c>
      <c r="F12" s="12"/>
      <c r="G12" s="12"/>
      <c r="H12" s="13"/>
    </row>
    <row r="13" spans="1:8" ht="23.25" customHeight="1">
      <c r="A13" s="11" t="s">
        <v>1591</v>
      </c>
      <c r="B13" s="12"/>
      <c r="C13" s="12"/>
      <c r="D13" s="13"/>
      <c r="E13" s="18" t="s">
        <v>1618</v>
      </c>
      <c r="F13" s="12"/>
      <c r="G13" s="12"/>
      <c r="H13" s="13"/>
    </row>
    <row r="14" spans="1:8" ht="23.25" customHeight="1">
      <c r="A14" s="11" t="s">
        <v>1593</v>
      </c>
      <c r="B14" s="12">
        <v>189</v>
      </c>
      <c r="C14" s="12">
        <v>157.85</v>
      </c>
      <c r="D14" s="13">
        <f aca="true" t="shared" si="1" ref="D14:D19">(C14-B14)/B14*100</f>
        <v>-16.481481481481485</v>
      </c>
      <c r="E14" s="18" t="s">
        <v>1619</v>
      </c>
      <c r="F14" s="12">
        <v>131.5</v>
      </c>
      <c r="G14" s="12">
        <v>105</v>
      </c>
      <c r="H14" s="13">
        <f t="shared" si="0"/>
        <v>-20.15209125475285</v>
      </c>
    </row>
    <row r="15" spans="1:8" ht="23.25" customHeight="1">
      <c r="A15" s="11" t="s">
        <v>1595</v>
      </c>
      <c r="B15" s="12"/>
      <c r="C15" s="12"/>
      <c r="D15" s="13"/>
      <c r="E15" s="14" t="s">
        <v>1620</v>
      </c>
      <c r="F15" s="12"/>
      <c r="G15" s="12"/>
      <c r="H15" s="13"/>
    </row>
    <row r="16" spans="1:8" ht="23.25" customHeight="1">
      <c r="A16" s="11" t="s">
        <v>1597</v>
      </c>
      <c r="B16" s="12">
        <f>SUM(B6:B15)</f>
        <v>2335.85</v>
      </c>
      <c r="C16" s="12">
        <f>SUM(C6:C15)</f>
        <v>2172.1611</v>
      </c>
      <c r="D16" s="13">
        <f t="shared" si="1"/>
        <v>-7.007680287689711</v>
      </c>
      <c r="E16" s="18" t="s">
        <v>1621</v>
      </c>
      <c r="F16" s="12">
        <f>SUM(F6:F15)</f>
        <v>1730.5</v>
      </c>
      <c r="G16" s="12">
        <v>1686</v>
      </c>
      <c r="H16" s="13">
        <f t="shared" si="0"/>
        <v>-2.571511123952615</v>
      </c>
    </row>
    <row r="17" spans="1:8" ht="23.25" customHeight="1">
      <c r="A17" s="21"/>
      <c r="B17" s="12"/>
      <c r="C17" s="12"/>
      <c r="D17" s="13"/>
      <c r="E17" s="18" t="s">
        <v>1622</v>
      </c>
      <c r="F17" s="12">
        <f>B16-F16</f>
        <v>605.3499999999999</v>
      </c>
      <c r="G17" s="12">
        <f>C16-G16</f>
        <v>486.1610999999998</v>
      </c>
      <c r="H17" s="13">
        <f t="shared" si="0"/>
        <v>-19.68925415049147</v>
      </c>
    </row>
    <row r="18" spans="1:8" ht="23.25" customHeight="1">
      <c r="A18" s="11" t="s">
        <v>1600</v>
      </c>
      <c r="B18" s="12">
        <v>3408.65</v>
      </c>
      <c r="C18" s="12">
        <f>F18</f>
        <v>4014</v>
      </c>
      <c r="D18" s="13">
        <f t="shared" si="1"/>
        <v>17.759230193771725</v>
      </c>
      <c r="E18" s="18" t="s">
        <v>1623</v>
      </c>
      <c r="F18" s="12">
        <f>F17+B18</f>
        <v>4014</v>
      </c>
      <c r="G18" s="12">
        <f>G17+C18</f>
        <v>4500.161099999999</v>
      </c>
      <c r="H18" s="13">
        <f t="shared" si="0"/>
        <v>12.111636771300432</v>
      </c>
    </row>
    <row r="19" spans="1:8" ht="20.25" customHeight="1">
      <c r="A19" s="9" t="s">
        <v>1602</v>
      </c>
      <c r="B19" s="12">
        <f aca="true" t="shared" si="2" ref="B19:G19">B16+B18</f>
        <v>5744.5</v>
      </c>
      <c r="C19" s="12">
        <f t="shared" si="2"/>
        <v>6186.161099999999</v>
      </c>
      <c r="D19" s="13">
        <f t="shared" si="1"/>
        <v>7.688416746453118</v>
      </c>
      <c r="E19" s="48" t="s">
        <v>1602</v>
      </c>
      <c r="F19" s="12">
        <f t="shared" si="2"/>
        <v>5744.5</v>
      </c>
      <c r="G19" s="12">
        <f t="shared" si="2"/>
        <v>6186.161099999999</v>
      </c>
      <c r="H19" s="13">
        <f t="shared" si="0"/>
        <v>7.688416746453118</v>
      </c>
    </row>
  </sheetData>
  <sheetProtection/>
  <mergeCells count="2">
    <mergeCell ref="A2:G2"/>
    <mergeCell ref="G4:H4"/>
  </mergeCells>
  <printOptions horizontalCentered="1"/>
  <pageMargins left="0.75" right="0.75" top="0.98" bottom="0.98" header="0.51" footer="0.79"/>
  <pageSetup errors="blank" firstPageNumber="82" useFirstPageNumber="1" horizontalDpi="600" verticalDpi="600" orientation="landscape" paperSize="9"/>
  <headerFooter alignWithMargins="0">
    <oddFooter>&amp;C第 &amp;P 页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D6" sqref="D6"/>
    </sheetView>
  </sheetViews>
  <sheetFormatPr defaultColWidth="9.00390625" defaultRowHeight="14.25" customHeight="1"/>
  <cols>
    <col min="1" max="1" width="14.625" style="1" customWidth="1"/>
    <col min="2" max="7" width="6.625" style="1" customWidth="1"/>
    <col min="8" max="8" width="6.00390625" style="1" customWidth="1"/>
    <col min="9" max="9" width="14.00390625" style="1" customWidth="1"/>
    <col min="10" max="15" width="6.625" style="1" customWidth="1"/>
    <col min="16" max="16" width="8.00390625" style="1" customWidth="1"/>
    <col min="17" max="16384" width="9.00390625" style="1" customWidth="1"/>
  </cols>
  <sheetData>
    <row r="1" spans="1:16" ht="27.75" customHeight="1">
      <c r="A1" s="499" t="s">
        <v>1624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0"/>
    </row>
    <row r="2" spans="1:16" ht="8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5"/>
      <c r="P2" s="5"/>
    </row>
    <row r="3" spans="1:16" s="25" customFormat="1" ht="19.5" customHeight="1">
      <c r="A3" s="502" t="s">
        <v>131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</row>
    <row r="4" spans="1:16" s="25" customFormat="1" ht="27.75" customHeight="1">
      <c r="A4" s="508" t="s">
        <v>1625</v>
      </c>
      <c r="B4" s="503" t="s">
        <v>1580</v>
      </c>
      <c r="C4" s="504"/>
      <c r="D4" s="504"/>
      <c r="E4" s="505" t="s">
        <v>348</v>
      </c>
      <c r="F4" s="505"/>
      <c r="G4" s="506"/>
      <c r="H4" s="510" t="s">
        <v>1581</v>
      </c>
      <c r="I4" s="512" t="s">
        <v>1626</v>
      </c>
      <c r="J4" s="505" t="s">
        <v>1580</v>
      </c>
      <c r="K4" s="505"/>
      <c r="L4" s="505"/>
      <c r="M4" s="507" t="s">
        <v>348</v>
      </c>
      <c r="N4" s="504"/>
      <c r="O4" s="504"/>
      <c r="P4" s="510" t="s">
        <v>1581</v>
      </c>
    </row>
    <row r="5" spans="1:16" s="25" customFormat="1" ht="48">
      <c r="A5" s="509"/>
      <c r="B5" s="26" t="s">
        <v>1542</v>
      </c>
      <c r="C5" s="28" t="s">
        <v>1627</v>
      </c>
      <c r="D5" s="28" t="s">
        <v>1628</v>
      </c>
      <c r="E5" s="29" t="s">
        <v>1542</v>
      </c>
      <c r="F5" s="28" t="s">
        <v>1627</v>
      </c>
      <c r="G5" s="30" t="s">
        <v>1628</v>
      </c>
      <c r="H5" s="511"/>
      <c r="I5" s="513"/>
      <c r="J5" s="26" t="s">
        <v>1542</v>
      </c>
      <c r="K5" s="28" t="s">
        <v>1627</v>
      </c>
      <c r="L5" s="28" t="s">
        <v>1628</v>
      </c>
      <c r="M5" s="29" t="s">
        <v>1542</v>
      </c>
      <c r="N5" s="28" t="s">
        <v>1627</v>
      </c>
      <c r="O5" s="30" t="s">
        <v>1628</v>
      </c>
      <c r="P5" s="511"/>
    </row>
    <row r="6" spans="1:17" s="25" customFormat="1" ht="27" customHeight="1">
      <c r="A6" s="31" t="s">
        <v>1629</v>
      </c>
      <c r="B6" s="32">
        <f>C6+D6</f>
        <v>31830.106138000003</v>
      </c>
      <c r="C6" s="33">
        <f>168361525.99/10000</f>
        <v>16836.152599</v>
      </c>
      <c r="D6" s="33">
        <v>14993.953539</v>
      </c>
      <c r="E6" s="32">
        <f>F6+G6</f>
        <v>32078.647046</v>
      </c>
      <c r="F6" s="33">
        <v>17004.51425</v>
      </c>
      <c r="G6" s="34">
        <v>15074.132796</v>
      </c>
      <c r="H6" s="35">
        <f>(E6-B6)/B6*100</f>
        <v>0.7808359385370623</v>
      </c>
      <c r="I6" s="41" t="s">
        <v>1630</v>
      </c>
      <c r="J6" s="32">
        <f>K6+L6</f>
        <v>29285.011236</v>
      </c>
      <c r="K6" s="33">
        <v>15441.946262</v>
      </c>
      <c r="L6" s="33">
        <v>13843.064974</v>
      </c>
      <c r="M6" s="32">
        <f>N6+O6</f>
        <v>31159.33</v>
      </c>
      <c r="N6" s="33">
        <v>16217.13</v>
      </c>
      <c r="O6" s="34">
        <v>14942.2</v>
      </c>
      <c r="P6" s="35">
        <f>(M6-J6)/J6*100</f>
        <v>6.400266501164621</v>
      </c>
      <c r="Q6" s="44"/>
    </row>
    <row r="7" spans="1:17" s="25" customFormat="1" ht="27" customHeight="1">
      <c r="A7" s="36" t="s">
        <v>1585</v>
      </c>
      <c r="B7" s="32">
        <f>C7+D7</f>
        <v>1637.2171999999998</v>
      </c>
      <c r="C7" s="33">
        <v>1538.6372</v>
      </c>
      <c r="D7" s="33">
        <v>98.58</v>
      </c>
      <c r="E7" s="32">
        <f>F7+G7</f>
        <v>1639</v>
      </c>
      <c r="F7" s="33">
        <v>1540</v>
      </c>
      <c r="G7" s="34">
        <v>99</v>
      </c>
      <c r="H7" s="35">
        <f>(E7-B7)/B7*100</f>
        <v>0.1088920883557893</v>
      </c>
      <c r="I7" s="41" t="s">
        <v>1631</v>
      </c>
      <c r="J7" s="32"/>
      <c r="K7" s="33"/>
      <c r="L7" s="33"/>
      <c r="M7" s="32"/>
      <c r="N7" s="33"/>
      <c r="O7" s="34"/>
      <c r="P7" s="35"/>
      <c r="Q7" s="44"/>
    </row>
    <row r="8" spans="1:17" s="25" customFormat="1" ht="27" customHeight="1">
      <c r="A8" s="36" t="s">
        <v>1587</v>
      </c>
      <c r="B8" s="32"/>
      <c r="C8" s="32"/>
      <c r="D8" s="32"/>
      <c r="E8" s="32"/>
      <c r="F8" s="32"/>
      <c r="G8" s="34"/>
      <c r="H8" s="35"/>
      <c r="I8" s="41" t="s">
        <v>1632</v>
      </c>
      <c r="J8" s="32"/>
      <c r="K8" s="32"/>
      <c r="L8" s="32"/>
      <c r="M8" s="32"/>
      <c r="N8" s="32"/>
      <c r="O8" s="34"/>
      <c r="P8" s="35"/>
      <c r="Q8" s="44"/>
    </row>
    <row r="9" spans="1:17" s="25" customFormat="1" ht="27" customHeight="1">
      <c r="A9" s="36" t="s">
        <v>1633</v>
      </c>
      <c r="B9" s="32"/>
      <c r="C9" s="32"/>
      <c r="D9" s="32"/>
      <c r="E9" s="32"/>
      <c r="F9" s="32"/>
      <c r="G9" s="34"/>
      <c r="H9" s="35"/>
      <c r="I9" s="41" t="s">
        <v>1634</v>
      </c>
      <c r="J9" s="32"/>
      <c r="K9" s="32"/>
      <c r="L9" s="32"/>
      <c r="M9" s="32"/>
      <c r="N9" s="32"/>
      <c r="O9" s="34"/>
      <c r="P9" s="35"/>
      <c r="Q9" s="44"/>
    </row>
    <row r="10" spans="1:17" s="25" customFormat="1" ht="27" customHeight="1">
      <c r="A10" s="36" t="s">
        <v>1635</v>
      </c>
      <c r="B10" s="32"/>
      <c r="C10" s="32"/>
      <c r="D10" s="32"/>
      <c r="E10" s="32"/>
      <c r="F10" s="32"/>
      <c r="G10" s="34"/>
      <c r="H10" s="35"/>
      <c r="I10" s="41" t="s">
        <v>1636</v>
      </c>
      <c r="J10" s="32"/>
      <c r="K10" s="32"/>
      <c r="L10" s="32"/>
      <c r="M10" s="32"/>
      <c r="N10" s="32"/>
      <c r="O10" s="34"/>
      <c r="P10" s="35"/>
      <c r="Q10" s="44"/>
    </row>
    <row r="11" spans="1:17" s="25" customFormat="1" ht="27" customHeight="1">
      <c r="A11" s="36" t="s">
        <v>1637</v>
      </c>
      <c r="B11" s="32"/>
      <c r="C11" s="32"/>
      <c r="D11" s="32"/>
      <c r="E11" s="32"/>
      <c r="F11" s="32"/>
      <c r="G11" s="34"/>
      <c r="H11" s="35"/>
      <c r="I11" s="41"/>
      <c r="J11" s="32"/>
      <c r="K11" s="32"/>
      <c r="L11" s="32"/>
      <c r="M11" s="32"/>
      <c r="N11" s="32"/>
      <c r="O11" s="34"/>
      <c r="P11" s="35"/>
      <c r="Q11" s="44"/>
    </row>
    <row r="12" spans="1:17" s="25" customFormat="1" ht="27" customHeight="1">
      <c r="A12" s="36" t="s">
        <v>1638</v>
      </c>
      <c r="B12" s="32"/>
      <c r="C12" s="32"/>
      <c r="D12" s="32"/>
      <c r="E12" s="32"/>
      <c r="F12" s="32"/>
      <c r="G12" s="34"/>
      <c r="H12" s="35"/>
      <c r="I12" s="41"/>
      <c r="J12" s="32"/>
      <c r="K12" s="32"/>
      <c r="L12" s="32"/>
      <c r="M12" s="32"/>
      <c r="N12" s="32"/>
      <c r="O12" s="34"/>
      <c r="P12" s="35"/>
      <c r="Q12" s="44"/>
    </row>
    <row r="13" spans="1:17" s="25" customFormat="1" ht="27" customHeight="1">
      <c r="A13" s="36" t="s">
        <v>1597</v>
      </c>
      <c r="B13" s="32">
        <f>C13+D13</f>
        <v>33467.323338</v>
      </c>
      <c r="C13" s="32">
        <f>SUM(C6:C12)</f>
        <v>18374.789799000002</v>
      </c>
      <c r="D13" s="32">
        <f>SUM(D6:D12)</f>
        <v>15092.533539</v>
      </c>
      <c r="E13" s="32">
        <f>F13+G13</f>
        <v>33717.647046</v>
      </c>
      <c r="F13" s="32">
        <f>SUM(F6:F12)</f>
        <v>18544.51425</v>
      </c>
      <c r="G13" s="34">
        <f>SUM(G6:G12)</f>
        <v>15173.132796</v>
      </c>
      <c r="H13" s="35">
        <f>(E13-B13)/B13*100</f>
        <v>0.7479645308705334</v>
      </c>
      <c r="I13" s="41" t="s">
        <v>1607</v>
      </c>
      <c r="J13" s="32">
        <f>K13+L13</f>
        <v>29285.011236</v>
      </c>
      <c r="K13" s="32">
        <f>SUM(K6:K12)</f>
        <v>15441.946262</v>
      </c>
      <c r="L13" s="32">
        <f>SUM(L6:L12)</f>
        <v>13843.064974</v>
      </c>
      <c r="M13" s="32">
        <f>N13+O13</f>
        <v>31159.33</v>
      </c>
      <c r="N13" s="32">
        <f>SUM(N6:N12)</f>
        <v>16217.13</v>
      </c>
      <c r="O13" s="34">
        <f>SUM(O6:O12)</f>
        <v>14942.2</v>
      </c>
      <c r="P13" s="35">
        <f>(M13-J13)/J13*100</f>
        <v>6.400266501164621</v>
      </c>
      <c r="Q13" s="44"/>
    </row>
    <row r="14" spans="1:17" s="25" customFormat="1" ht="27" customHeight="1">
      <c r="A14" s="36"/>
      <c r="B14" s="32"/>
      <c r="C14" s="32"/>
      <c r="D14" s="32"/>
      <c r="E14" s="32"/>
      <c r="F14" s="32"/>
      <c r="G14" s="34"/>
      <c r="H14" s="35"/>
      <c r="I14" s="41" t="s">
        <v>1608</v>
      </c>
      <c r="J14" s="32">
        <f>K14+L14</f>
        <v>4182.312102000002</v>
      </c>
      <c r="K14" s="32">
        <f>C13-K13</f>
        <v>2932.8435370000025</v>
      </c>
      <c r="L14" s="32">
        <f>D13-L13</f>
        <v>1249.4685649999992</v>
      </c>
      <c r="M14" s="32">
        <f>N14+O14</f>
        <v>2558.932795999999</v>
      </c>
      <c r="N14" s="32">
        <v>2328</v>
      </c>
      <c r="O14" s="34">
        <f>G13-O13</f>
        <v>230.93279599999914</v>
      </c>
      <c r="P14" s="35">
        <f>(M14-J14)/J14*100</f>
        <v>-38.815355392145285</v>
      </c>
      <c r="Q14" s="44"/>
    </row>
    <row r="15" spans="1:17" s="25" customFormat="1" ht="27" customHeight="1">
      <c r="A15" s="36" t="s">
        <v>1600</v>
      </c>
      <c r="B15" s="32">
        <f>C15+D15</f>
        <v>54198.625691</v>
      </c>
      <c r="C15" s="33">
        <v>42111.5553</v>
      </c>
      <c r="D15" s="33">
        <v>12087.070391</v>
      </c>
      <c r="E15" s="33">
        <f>F15+G15</f>
        <v>58380.928955999996</v>
      </c>
      <c r="F15" s="33">
        <v>45044.39</v>
      </c>
      <c r="G15" s="34">
        <f>L15</f>
        <v>13336.538955999999</v>
      </c>
      <c r="H15" s="35">
        <f>(E15-B15)/B15*100</f>
        <v>7.716622352832999</v>
      </c>
      <c r="I15" s="41" t="s">
        <v>1609</v>
      </c>
      <c r="J15" s="32">
        <f>K15+L15</f>
        <v>58380.937793</v>
      </c>
      <c r="K15" s="33">
        <f>K14+C15</f>
        <v>45044.398837</v>
      </c>
      <c r="L15" s="33">
        <f>L14+D15</f>
        <v>13336.538955999999</v>
      </c>
      <c r="M15" s="33">
        <f>N15+O15</f>
        <v>60939.861752</v>
      </c>
      <c r="N15" s="33">
        <f>N14+F15</f>
        <v>47372.39</v>
      </c>
      <c r="O15" s="34">
        <f>O14+G15</f>
        <v>13567.471751999998</v>
      </c>
      <c r="P15" s="35">
        <f>(M15-J15)/J15*100</f>
        <v>4.3831498015210375</v>
      </c>
      <c r="Q15" s="44"/>
    </row>
    <row r="16" spans="1:17" s="25" customFormat="1" ht="27" customHeight="1">
      <c r="A16" s="27" t="s">
        <v>1639</v>
      </c>
      <c r="B16" s="32">
        <f aca="true" t="shared" si="0" ref="B16:G16">B13+B15</f>
        <v>87665.94902900001</v>
      </c>
      <c r="C16" s="32">
        <f t="shared" si="0"/>
        <v>60486.345099</v>
      </c>
      <c r="D16" s="32">
        <f t="shared" si="0"/>
        <v>27179.603929999997</v>
      </c>
      <c r="E16" s="32">
        <f t="shared" si="0"/>
        <v>92098.57600199999</v>
      </c>
      <c r="F16" s="32">
        <f t="shared" si="0"/>
        <v>63588.90425</v>
      </c>
      <c r="G16" s="34">
        <f t="shared" si="0"/>
        <v>28509.671752</v>
      </c>
      <c r="H16" s="35">
        <f>(E16-B16)/B16*100</f>
        <v>5.056269876840845</v>
      </c>
      <c r="I16" s="42" t="s">
        <v>1640</v>
      </c>
      <c r="J16" s="32">
        <f aca="true" t="shared" si="1" ref="J16:O16">J13+J15</f>
        <v>87665.949029</v>
      </c>
      <c r="K16" s="32">
        <f t="shared" si="1"/>
        <v>60486.345099</v>
      </c>
      <c r="L16" s="32">
        <f t="shared" si="1"/>
        <v>27179.603929999997</v>
      </c>
      <c r="M16" s="32">
        <f t="shared" si="1"/>
        <v>92099.191752</v>
      </c>
      <c r="N16" s="32">
        <f t="shared" si="1"/>
        <v>63589.52</v>
      </c>
      <c r="O16" s="34">
        <f t="shared" si="1"/>
        <v>28509.671752</v>
      </c>
      <c r="P16" s="35">
        <f>(M16-J16)/J16*100</f>
        <v>5.056972259016419</v>
      </c>
      <c r="Q16" s="44"/>
    </row>
    <row r="17" spans="1:17" ht="21" customHeight="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43"/>
      <c r="P17" s="43"/>
      <c r="Q17" s="39"/>
    </row>
    <row r="18" spans="2:17" ht="14.25" customHeight="1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2:17" ht="14.2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2:17" ht="14.25" customHeight="1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2:17" ht="14.25" customHeight="1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2:17" ht="14.2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2:17" ht="14.25" customHeight="1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</sheetData>
  <sheetProtection/>
  <mergeCells count="10">
    <mergeCell ref="A1:O1"/>
    <mergeCell ref="A3:P3"/>
    <mergeCell ref="B4:D4"/>
    <mergeCell ref="E4:G4"/>
    <mergeCell ref="J4:L4"/>
    <mergeCell ref="M4:O4"/>
    <mergeCell ref="A4:A5"/>
    <mergeCell ref="H4:H5"/>
    <mergeCell ref="I4:I5"/>
    <mergeCell ref="P4:P5"/>
  </mergeCells>
  <printOptions horizontalCentered="1"/>
  <pageMargins left="0.75" right="0.75" top="0.98" bottom="0.98" header="0.51" footer="0.79"/>
  <pageSetup errors="blank" firstPageNumber="83" useFirstPageNumber="1" horizontalDpi="600" verticalDpi="600" orientation="landscape" paperSize="9"/>
  <headerFooter alignWithMargins="0">
    <oddFooter>&amp;C第 &amp;P 页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P19" sqref="P19"/>
    </sheetView>
  </sheetViews>
  <sheetFormatPr defaultColWidth="9.00390625" defaultRowHeight="14.25" customHeight="1"/>
  <cols>
    <col min="1" max="1" width="19.75390625" style="1" customWidth="1"/>
    <col min="2" max="3" width="14.125" style="1" customWidth="1"/>
    <col min="4" max="4" width="12.50390625" style="1" customWidth="1"/>
    <col min="5" max="5" width="20.875" style="1" customWidth="1"/>
    <col min="6" max="6" width="14.125" style="1" customWidth="1"/>
    <col min="7" max="7" width="13.00390625" style="1" customWidth="1"/>
    <col min="8" max="8" width="12.50390625" style="1" customWidth="1"/>
    <col min="9" max="16384" width="9.00390625" style="1" customWidth="1"/>
  </cols>
  <sheetData>
    <row r="1" spans="1:8" ht="3.75" customHeight="1">
      <c r="A1" s="2"/>
      <c r="B1" s="3"/>
      <c r="C1" s="3"/>
      <c r="D1" s="3"/>
      <c r="E1" s="3"/>
      <c r="F1" s="3"/>
      <c r="G1" s="3"/>
      <c r="H1" s="3"/>
    </row>
    <row r="2" spans="1:8" ht="34.5" customHeight="1">
      <c r="A2" s="499" t="s">
        <v>1641</v>
      </c>
      <c r="B2" s="499"/>
      <c r="C2" s="499"/>
      <c r="D2" s="499"/>
      <c r="E2" s="499"/>
      <c r="F2" s="499"/>
      <c r="G2" s="499"/>
      <c r="H2" s="499"/>
    </row>
    <row r="3" spans="1:8" ht="15" customHeight="1">
      <c r="A3" s="23"/>
      <c r="B3" s="514"/>
      <c r="C3" s="514"/>
      <c r="D3" s="514"/>
      <c r="E3" s="514"/>
      <c r="F3" s="514"/>
      <c r="G3" s="5"/>
      <c r="H3" s="5"/>
    </row>
    <row r="4" spans="1:8" ht="15" customHeight="1">
      <c r="A4" s="6"/>
      <c r="B4" s="6"/>
      <c r="C4" s="6"/>
      <c r="D4" s="6"/>
      <c r="E4" s="6"/>
      <c r="F4" s="7"/>
      <c r="G4" s="501" t="s">
        <v>131</v>
      </c>
      <c r="H4" s="501"/>
    </row>
    <row r="5" spans="1:8" ht="26.25" customHeight="1">
      <c r="A5" s="9" t="s">
        <v>1554</v>
      </c>
      <c r="B5" s="24" t="s">
        <v>1580</v>
      </c>
      <c r="C5" s="9" t="s">
        <v>348</v>
      </c>
      <c r="D5" s="9" t="s">
        <v>1581</v>
      </c>
      <c r="E5" s="9" t="s">
        <v>1579</v>
      </c>
      <c r="F5" s="24" t="s">
        <v>1580</v>
      </c>
      <c r="G5" s="10" t="s">
        <v>348</v>
      </c>
      <c r="H5" s="9" t="s">
        <v>1581</v>
      </c>
    </row>
    <row r="6" spans="1:8" ht="30.75" customHeight="1">
      <c r="A6" s="11" t="s">
        <v>1642</v>
      </c>
      <c r="B6" s="12">
        <v>5196.76</v>
      </c>
      <c r="C6" s="12">
        <v>5225.66</v>
      </c>
      <c r="D6" s="13">
        <f>(C6-B6)/B6*100</f>
        <v>0.5561157336494207</v>
      </c>
      <c r="E6" s="14" t="s">
        <v>1643</v>
      </c>
      <c r="F6" s="12">
        <v>4437.51</v>
      </c>
      <c r="G6" s="15">
        <v>4586.9</v>
      </c>
      <c r="H6" s="16">
        <f>(G6-F6)/F6*100</f>
        <v>3.366527624726466</v>
      </c>
    </row>
    <row r="7" spans="1:8" ht="30.75" customHeight="1">
      <c r="A7" s="11" t="s">
        <v>1585</v>
      </c>
      <c r="B7" s="12">
        <v>361.25</v>
      </c>
      <c r="C7" s="12">
        <v>382.35</v>
      </c>
      <c r="D7" s="13">
        <f aca="true" t="shared" si="0" ref="D7:D16">(C7-B7)/B7*100</f>
        <v>5.8408304498269965</v>
      </c>
      <c r="E7" s="14" t="s">
        <v>1644</v>
      </c>
      <c r="F7" s="12">
        <v>14.1</v>
      </c>
      <c r="G7" s="15">
        <v>14.1</v>
      </c>
      <c r="H7" s="16"/>
    </row>
    <row r="8" spans="1:8" ht="30.75" customHeight="1">
      <c r="A8" s="11" t="s">
        <v>1587</v>
      </c>
      <c r="B8" s="12"/>
      <c r="C8" s="12"/>
      <c r="D8" s="13"/>
      <c r="E8" s="18" t="s">
        <v>1645</v>
      </c>
      <c r="F8" s="12">
        <v>75</v>
      </c>
      <c r="G8" s="15">
        <v>85</v>
      </c>
      <c r="H8" s="16">
        <f aca="true" t="shared" si="1" ref="H8:H16">(G8-F8)/F8*100</f>
        <v>13.333333333333334</v>
      </c>
    </row>
    <row r="9" spans="1:8" ht="30.75" customHeight="1">
      <c r="A9" s="11" t="s">
        <v>1589</v>
      </c>
      <c r="B9" s="12"/>
      <c r="C9" s="12"/>
      <c r="D9" s="13"/>
      <c r="E9" s="18" t="s">
        <v>1590</v>
      </c>
      <c r="F9" s="12"/>
      <c r="G9" s="15"/>
      <c r="H9" s="16"/>
    </row>
    <row r="10" spans="1:8" ht="30.75" customHeight="1">
      <c r="A10" s="11" t="s">
        <v>1646</v>
      </c>
      <c r="B10" s="12"/>
      <c r="C10" s="12"/>
      <c r="D10" s="13"/>
      <c r="E10" s="18" t="s">
        <v>1495</v>
      </c>
      <c r="F10" s="12"/>
      <c r="G10" s="15"/>
      <c r="H10" s="16"/>
    </row>
    <row r="11" spans="1:8" ht="30.75" customHeight="1">
      <c r="A11" s="11" t="s">
        <v>1637</v>
      </c>
      <c r="B11" s="12"/>
      <c r="C11" s="12"/>
      <c r="D11" s="13"/>
      <c r="E11" s="14" t="s">
        <v>1647</v>
      </c>
      <c r="F11" s="12">
        <v>500</v>
      </c>
      <c r="G11" s="15"/>
      <c r="H11" s="16"/>
    </row>
    <row r="12" spans="1:8" ht="30.75" customHeight="1">
      <c r="A12" s="11" t="s">
        <v>1638</v>
      </c>
      <c r="B12" s="12">
        <v>690.8</v>
      </c>
      <c r="C12" s="12">
        <v>747.2</v>
      </c>
      <c r="D12" s="13">
        <f t="shared" si="0"/>
        <v>8.164447017950216</v>
      </c>
      <c r="E12" s="14" t="s">
        <v>1648</v>
      </c>
      <c r="F12" s="12">
        <v>405.95</v>
      </c>
      <c r="G12" s="15">
        <v>422</v>
      </c>
      <c r="H12" s="16">
        <f t="shared" si="1"/>
        <v>3.953688877940636</v>
      </c>
    </row>
    <row r="13" spans="1:8" ht="30.75" customHeight="1">
      <c r="A13" s="11" t="s">
        <v>1597</v>
      </c>
      <c r="B13" s="12">
        <f aca="true" t="shared" si="2" ref="B13:G13">SUM(B6:B12)</f>
        <v>6248.81</v>
      </c>
      <c r="C13" s="12">
        <f t="shared" si="2"/>
        <v>6355.21</v>
      </c>
      <c r="D13" s="13">
        <f t="shared" si="0"/>
        <v>1.702724198687424</v>
      </c>
      <c r="E13" s="14" t="s">
        <v>1598</v>
      </c>
      <c r="F13" s="12">
        <f t="shared" si="2"/>
        <v>5432.56</v>
      </c>
      <c r="G13" s="15">
        <f t="shared" si="2"/>
        <v>5108</v>
      </c>
      <c r="H13" s="16">
        <f t="shared" si="1"/>
        <v>-5.9743472690591615</v>
      </c>
    </row>
    <row r="14" spans="1:8" ht="30.75" customHeight="1">
      <c r="A14" s="21" t="s">
        <v>1649</v>
      </c>
      <c r="B14" s="12"/>
      <c r="C14" s="12"/>
      <c r="D14" s="13"/>
      <c r="E14" s="14" t="s">
        <v>1599</v>
      </c>
      <c r="F14" s="12">
        <f>B13-F13</f>
        <v>816.25</v>
      </c>
      <c r="G14" s="20">
        <f>C13-G13</f>
        <v>1247.21</v>
      </c>
      <c r="H14" s="16">
        <f t="shared" si="1"/>
        <v>52.79754977029098</v>
      </c>
    </row>
    <row r="15" spans="1:8" ht="30.75" customHeight="1">
      <c r="A15" s="11" t="s">
        <v>1650</v>
      </c>
      <c r="B15" s="12">
        <v>14845.9</v>
      </c>
      <c r="C15" s="12">
        <f>F15</f>
        <v>15662.15</v>
      </c>
      <c r="D15" s="13">
        <f t="shared" si="0"/>
        <v>5.498151004654484</v>
      </c>
      <c r="E15" s="14" t="s">
        <v>1601</v>
      </c>
      <c r="F15" s="12">
        <f>F14+B15</f>
        <v>15662.15</v>
      </c>
      <c r="G15" s="20">
        <f>G14+C15</f>
        <v>16909.36</v>
      </c>
      <c r="H15" s="16">
        <f t="shared" si="1"/>
        <v>7.963210670310277</v>
      </c>
    </row>
    <row r="16" spans="1:8" ht="30.75" customHeight="1">
      <c r="A16" s="9" t="s">
        <v>1602</v>
      </c>
      <c r="B16" s="12">
        <f aca="true" t="shared" si="3" ref="B16:G16">B13+B15</f>
        <v>21094.71</v>
      </c>
      <c r="C16" s="12">
        <f t="shared" si="3"/>
        <v>22017.36</v>
      </c>
      <c r="D16" s="13">
        <f t="shared" si="0"/>
        <v>4.373845385881111</v>
      </c>
      <c r="E16" s="22" t="s">
        <v>1602</v>
      </c>
      <c r="F16" s="19">
        <f t="shared" si="3"/>
        <v>21094.71</v>
      </c>
      <c r="G16" s="20">
        <f t="shared" si="3"/>
        <v>22017.36</v>
      </c>
      <c r="H16" s="16">
        <f t="shared" si="1"/>
        <v>4.373845385881111</v>
      </c>
    </row>
  </sheetData>
  <sheetProtection/>
  <mergeCells count="3">
    <mergeCell ref="A2:H2"/>
    <mergeCell ref="B3:F3"/>
    <mergeCell ref="G4:H4"/>
  </mergeCells>
  <printOptions horizontalCentered="1"/>
  <pageMargins left="0.75" right="0.75" top="0.98" bottom="0.98" header="0.51" footer="0.79"/>
  <pageSetup errors="blank" firstPageNumber="84" useFirstPageNumber="1" horizontalDpi="600" verticalDpi="600" orientation="landscape" paperSize="9"/>
  <headerFooter alignWithMargins="0">
    <oddFooter>&amp;C第 &amp;P 页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P19" sqref="P19"/>
    </sheetView>
  </sheetViews>
  <sheetFormatPr defaultColWidth="9.00390625" defaultRowHeight="14.25" customHeight="1"/>
  <cols>
    <col min="1" max="1" width="21.25390625" style="1" customWidth="1"/>
    <col min="2" max="3" width="15.375" style="1" customWidth="1"/>
    <col min="4" max="4" width="7.875" style="1" customWidth="1"/>
    <col min="5" max="5" width="23.25390625" style="1" customWidth="1"/>
    <col min="6" max="7" width="15.375" style="1" customWidth="1"/>
    <col min="8" max="8" width="7.875" style="1" customWidth="1"/>
    <col min="9" max="16384" width="9.00390625" style="1" customWidth="1"/>
  </cols>
  <sheetData>
    <row r="1" spans="1:8" ht="7.5" customHeight="1">
      <c r="A1" s="2"/>
      <c r="B1" s="3"/>
      <c r="C1" s="3"/>
      <c r="D1" s="3"/>
      <c r="E1" s="3"/>
      <c r="F1" s="3"/>
      <c r="G1" s="3"/>
      <c r="H1" s="3"/>
    </row>
    <row r="2" spans="1:8" ht="45" customHeight="1">
      <c r="A2" s="499" t="s">
        <v>1651</v>
      </c>
      <c r="B2" s="499"/>
      <c r="C2" s="499"/>
      <c r="D2" s="499"/>
      <c r="E2" s="499"/>
      <c r="F2" s="499"/>
      <c r="G2" s="499"/>
      <c r="H2" s="499"/>
    </row>
    <row r="3" spans="1:8" ht="15" customHeight="1">
      <c r="A3" s="4"/>
      <c r="B3" s="515"/>
      <c r="C3" s="515"/>
      <c r="D3" s="515"/>
      <c r="E3" s="515"/>
      <c r="F3" s="515"/>
      <c r="G3" s="5"/>
      <c r="H3" s="5"/>
    </row>
    <row r="4" spans="1:8" ht="15" customHeight="1">
      <c r="A4" s="6"/>
      <c r="B4" s="6"/>
      <c r="C4" s="6"/>
      <c r="D4" s="6"/>
      <c r="E4" s="6"/>
      <c r="F4" s="7"/>
      <c r="G4" s="501" t="s">
        <v>131</v>
      </c>
      <c r="H4" s="501"/>
    </row>
    <row r="5" spans="1:8" ht="26.25" customHeight="1">
      <c r="A5" s="9" t="s">
        <v>1582</v>
      </c>
      <c r="B5" s="9" t="s">
        <v>1652</v>
      </c>
      <c r="C5" s="9" t="s">
        <v>348</v>
      </c>
      <c r="D5" s="9" t="s">
        <v>1581</v>
      </c>
      <c r="E5" s="9" t="s">
        <v>1554</v>
      </c>
      <c r="F5" s="9" t="s">
        <v>1652</v>
      </c>
      <c r="G5" s="10" t="s">
        <v>348</v>
      </c>
      <c r="H5" s="9" t="s">
        <v>1581</v>
      </c>
    </row>
    <row r="6" spans="1:8" ht="30" customHeight="1">
      <c r="A6" s="11" t="s">
        <v>1653</v>
      </c>
      <c r="B6" s="12">
        <v>1289.2</v>
      </c>
      <c r="C6" s="12">
        <v>1353.7</v>
      </c>
      <c r="D6" s="13">
        <f>(C6-B6)/B6*100</f>
        <v>5.003102699348433</v>
      </c>
      <c r="E6" s="14" t="s">
        <v>1654</v>
      </c>
      <c r="F6" s="12">
        <v>483.5</v>
      </c>
      <c r="G6" s="15">
        <v>573.3</v>
      </c>
      <c r="H6" s="16">
        <f>(G6-F6)/F6*100</f>
        <v>18.57290589451912</v>
      </c>
    </row>
    <row r="7" spans="1:8" ht="30" customHeight="1">
      <c r="A7" s="11" t="s">
        <v>1585</v>
      </c>
      <c r="B7" s="12">
        <v>80</v>
      </c>
      <c r="C7" s="12">
        <v>80</v>
      </c>
      <c r="D7" s="13"/>
      <c r="E7" s="14" t="s">
        <v>1655</v>
      </c>
      <c r="F7" s="12">
        <v>962.7</v>
      </c>
      <c r="G7" s="15">
        <v>1112.7</v>
      </c>
      <c r="H7" s="16">
        <f aca="true" t="shared" si="0" ref="H7:H16">(G7-F7)/F7*100</f>
        <v>15.58117793705204</v>
      </c>
    </row>
    <row r="8" spans="1:8" ht="30" customHeight="1">
      <c r="A8" s="11" t="s">
        <v>1587</v>
      </c>
      <c r="B8" s="12"/>
      <c r="C8" s="12"/>
      <c r="D8" s="13"/>
      <c r="E8" s="17"/>
      <c r="F8" s="12"/>
      <c r="G8" s="15"/>
      <c r="H8" s="16"/>
    </row>
    <row r="9" spans="1:8" ht="30" customHeight="1">
      <c r="A9" s="11" t="s">
        <v>1589</v>
      </c>
      <c r="B9" s="12"/>
      <c r="C9" s="12"/>
      <c r="D9" s="13"/>
      <c r="E9" s="18" t="s">
        <v>1632</v>
      </c>
      <c r="F9" s="12"/>
      <c r="G9" s="15"/>
      <c r="H9" s="16"/>
    </row>
    <row r="10" spans="1:8" ht="30" customHeight="1">
      <c r="A10" s="11" t="s">
        <v>1646</v>
      </c>
      <c r="B10" s="12"/>
      <c r="C10" s="12"/>
      <c r="D10" s="13"/>
      <c r="E10" s="14" t="s">
        <v>1656</v>
      </c>
      <c r="F10" s="12"/>
      <c r="G10" s="15"/>
      <c r="H10" s="16"/>
    </row>
    <row r="11" spans="1:8" ht="30" customHeight="1">
      <c r="A11" s="11" t="s">
        <v>1637</v>
      </c>
      <c r="B11" s="12"/>
      <c r="C11" s="12"/>
      <c r="D11" s="13"/>
      <c r="E11" s="14" t="s">
        <v>1592</v>
      </c>
      <c r="F11" s="19"/>
      <c r="G11" s="20"/>
      <c r="H11" s="16"/>
    </row>
    <row r="12" spans="1:8" ht="30" customHeight="1">
      <c r="A12" s="11" t="s">
        <v>1638</v>
      </c>
      <c r="B12" s="12"/>
      <c r="C12" s="12"/>
      <c r="D12" s="13"/>
      <c r="E12" s="14" t="s">
        <v>1594</v>
      </c>
      <c r="F12" s="19"/>
      <c r="G12" s="20"/>
      <c r="H12" s="16"/>
    </row>
    <row r="13" spans="1:8" ht="30" customHeight="1">
      <c r="A13" s="11" t="s">
        <v>1597</v>
      </c>
      <c r="B13" s="12">
        <f aca="true" t="shared" si="1" ref="B13:G13">SUM(B6:B12)</f>
        <v>1369.2</v>
      </c>
      <c r="C13" s="12">
        <f t="shared" si="1"/>
        <v>1433.7</v>
      </c>
      <c r="D13" s="13">
        <f>(C13-B13)/B13*100</f>
        <v>4.710780017528483</v>
      </c>
      <c r="E13" s="14" t="s">
        <v>1657</v>
      </c>
      <c r="F13" s="19">
        <f t="shared" si="1"/>
        <v>1446.2</v>
      </c>
      <c r="G13" s="20">
        <f t="shared" si="1"/>
        <v>1686</v>
      </c>
      <c r="H13" s="16">
        <f t="shared" si="0"/>
        <v>16.581385700456362</v>
      </c>
    </row>
    <row r="14" spans="1:8" ht="30" customHeight="1">
      <c r="A14" s="21"/>
      <c r="B14" s="12"/>
      <c r="C14" s="12"/>
      <c r="D14" s="13"/>
      <c r="E14" s="14" t="s">
        <v>1658</v>
      </c>
      <c r="F14" s="19">
        <f>B13-F13</f>
        <v>-77</v>
      </c>
      <c r="G14" s="20">
        <f>C13-G13</f>
        <v>-252.29999999999995</v>
      </c>
      <c r="H14" s="16">
        <f t="shared" si="0"/>
        <v>227.6623376623376</v>
      </c>
    </row>
    <row r="15" spans="1:8" ht="30" customHeight="1">
      <c r="A15" s="11" t="s">
        <v>1600</v>
      </c>
      <c r="B15" s="12">
        <v>3098.1</v>
      </c>
      <c r="C15" s="12">
        <f>F15</f>
        <v>3021.1</v>
      </c>
      <c r="D15" s="13">
        <f>(C15-B15)/B15*100</f>
        <v>-2.4853942739098156</v>
      </c>
      <c r="E15" s="14" t="s">
        <v>1659</v>
      </c>
      <c r="F15" s="19">
        <f>F14+B15</f>
        <v>3021.1</v>
      </c>
      <c r="G15" s="20">
        <f>G14+C15</f>
        <v>2768.8</v>
      </c>
      <c r="H15" s="16">
        <f t="shared" si="0"/>
        <v>-8.351262785078275</v>
      </c>
    </row>
    <row r="16" spans="1:8" ht="30" customHeight="1">
      <c r="A16" s="9" t="s">
        <v>1602</v>
      </c>
      <c r="B16" s="12">
        <f aca="true" t="shared" si="2" ref="B16:G16">B13+B15</f>
        <v>4467.3</v>
      </c>
      <c r="C16" s="12">
        <f t="shared" si="2"/>
        <v>4454.8</v>
      </c>
      <c r="D16" s="13">
        <f>(C16-B16)/B16*100</f>
        <v>-0.27981107156447965</v>
      </c>
      <c r="E16" s="22" t="s">
        <v>1602</v>
      </c>
      <c r="F16" s="19">
        <f t="shared" si="2"/>
        <v>4467.3</v>
      </c>
      <c r="G16" s="20">
        <f t="shared" si="2"/>
        <v>4454.8</v>
      </c>
      <c r="H16" s="16">
        <f t="shared" si="0"/>
        <v>-0.27981107156447965</v>
      </c>
    </row>
  </sheetData>
  <sheetProtection/>
  <mergeCells count="3">
    <mergeCell ref="A2:H2"/>
    <mergeCell ref="B3:F3"/>
    <mergeCell ref="G4:H4"/>
  </mergeCells>
  <printOptions horizontalCentered="1"/>
  <pageMargins left="0.75" right="0.75" top="0.98" bottom="0.98" header="0.51" footer="0.79"/>
  <pageSetup firstPageNumber="85" useFirstPageNumber="1"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30.50390625" style="420" customWidth="1"/>
    <col min="2" max="2" width="14.125" style="420" customWidth="1"/>
    <col min="3" max="3" width="14.75390625" style="440" customWidth="1"/>
    <col min="4" max="4" width="16.25390625" style="420" customWidth="1"/>
    <col min="5" max="16384" width="9.00390625" style="420" customWidth="1"/>
  </cols>
  <sheetData>
    <row r="1" spans="1:4" s="419" customFormat="1" ht="44.25" customHeight="1">
      <c r="A1" s="460" t="s">
        <v>77</v>
      </c>
      <c r="B1" s="460"/>
      <c r="C1" s="460"/>
      <c r="D1" s="460"/>
    </row>
    <row r="2" spans="1:4" ht="24.75" customHeight="1">
      <c r="A2" s="434"/>
      <c r="B2" s="434"/>
      <c r="C2" s="441"/>
      <c r="D2" s="435" t="s">
        <v>78</v>
      </c>
    </row>
    <row r="3" spans="1:4" s="439" customFormat="1" ht="28.5" customHeight="1">
      <c r="A3" s="77" t="s">
        <v>47</v>
      </c>
      <c r="B3" s="442" t="s">
        <v>48</v>
      </c>
      <c r="C3" s="253" t="s">
        <v>49</v>
      </c>
      <c r="D3" s="77" t="s">
        <v>79</v>
      </c>
    </row>
    <row r="4" spans="1:4" s="439" customFormat="1" ht="24.75" customHeight="1">
      <c r="A4" s="421" t="s">
        <v>51</v>
      </c>
      <c r="B4" s="443">
        <v>57965</v>
      </c>
      <c r="C4" s="115">
        <v>48656</v>
      </c>
      <c r="D4" s="145">
        <f>(B4-C4)/C4*100</f>
        <v>19.132275567247618</v>
      </c>
    </row>
    <row r="5" spans="1:4" s="439" customFormat="1" ht="24.75" customHeight="1">
      <c r="A5" s="421" t="s">
        <v>52</v>
      </c>
      <c r="B5" s="443"/>
      <c r="C5" s="115"/>
      <c r="D5" s="145"/>
    </row>
    <row r="6" spans="1:4" s="439" customFormat="1" ht="24.75" customHeight="1">
      <c r="A6" s="421" t="s">
        <v>53</v>
      </c>
      <c r="B6" s="443">
        <v>1615</v>
      </c>
      <c r="C6" s="115">
        <v>1065</v>
      </c>
      <c r="D6" s="145">
        <f aca="true" t="shared" si="0" ref="D6:D26">(B6-C6)/C6*100</f>
        <v>51.64319248826291</v>
      </c>
    </row>
    <row r="7" spans="1:4" s="439" customFormat="1" ht="24.75" customHeight="1">
      <c r="A7" s="421" t="s">
        <v>54</v>
      </c>
      <c r="B7" s="443">
        <f>45078+6000</f>
        <v>51078</v>
      </c>
      <c r="C7" s="115">
        <v>42104</v>
      </c>
      <c r="D7" s="145">
        <f t="shared" si="0"/>
        <v>21.3138894166825</v>
      </c>
    </row>
    <row r="8" spans="1:4" s="439" customFormat="1" ht="24.75" customHeight="1">
      <c r="A8" s="421" t="s">
        <v>55</v>
      </c>
      <c r="B8" s="443">
        <f>23167+4000</f>
        <v>27167</v>
      </c>
      <c r="C8" s="115">
        <v>22238</v>
      </c>
      <c r="D8" s="145">
        <f t="shared" si="0"/>
        <v>22.164763018257037</v>
      </c>
    </row>
    <row r="9" spans="1:4" s="439" customFormat="1" ht="24.75" customHeight="1">
      <c r="A9" s="421" t="s">
        <v>56</v>
      </c>
      <c r="B9" s="443">
        <v>4591</v>
      </c>
      <c r="C9" s="115">
        <v>3793</v>
      </c>
      <c r="D9" s="145">
        <f t="shared" si="0"/>
        <v>21.03875560242552</v>
      </c>
    </row>
    <row r="10" spans="1:4" s="439" customFormat="1" ht="24.75" customHeight="1">
      <c r="A10" s="421" t="s">
        <v>57</v>
      </c>
      <c r="B10" s="443">
        <v>15144</v>
      </c>
      <c r="C10" s="115">
        <v>9030</v>
      </c>
      <c r="D10" s="145">
        <f t="shared" si="0"/>
        <v>67.70764119601328</v>
      </c>
    </row>
    <row r="11" spans="1:4" s="439" customFormat="1" ht="24.75" customHeight="1">
      <c r="A11" s="421" t="s">
        <v>58</v>
      </c>
      <c r="B11" s="443">
        <f>143428-55155</f>
        <v>88273</v>
      </c>
      <c r="C11" s="115">
        <v>77153</v>
      </c>
      <c r="D11" s="145">
        <f t="shared" si="0"/>
        <v>14.4129197827693</v>
      </c>
    </row>
    <row r="12" spans="1:4" s="439" customFormat="1" ht="24.75" customHeight="1">
      <c r="A12" s="421" t="s">
        <v>59</v>
      </c>
      <c r="B12" s="443">
        <f>18825+7500+3000</f>
        <v>29325</v>
      </c>
      <c r="C12" s="115">
        <v>24120</v>
      </c>
      <c r="D12" s="145">
        <f t="shared" si="0"/>
        <v>21.579601990049753</v>
      </c>
    </row>
    <row r="13" spans="1:4" s="439" customFormat="1" ht="24.75" customHeight="1">
      <c r="A13" s="421" t="s">
        <v>60</v>
      </c>
      <c r="B13" s="443">
        <f>2872+5000</f>
        <v>7872</v>
      </c>
      <c r="C13" s="115">
        <v>6794</v>
      </c>
      <c r="D13" s="145">
        <f t="shared" si="0"/>
        <v>15.866941418899028</v>
      </c>
    </row>
    <row r="14" spans="1:4" s="439" customFormat="1" ht="24.75" customHeight="1">
      <c r="A14" s="421" t="s">
        <v>61</v>
      </c>
      <c r="B14" s="443">
        <v>34724</v>
      </c>
      <c r="C14" s="115">
        <v>31919</v>
      </c>
      <c r="D14" s="145">
        <f t="shared" si="0"/>
        <v>8.78786929415082</v>
      </c>
    </row>
    <row r="15" spans="1:4" s="439" customFormat="1" ht="24.75" customHeight="1">
      <c r="A15" s="421" t="s">
        <v>62</v>
      </c>
      <c r="B15" s="443">
        <f>13796+18000</f>
        <v>31796</v>
      </c>
      <c r="C15" s="115">
        <v>28899</v>
      </c>
      <c r="D15" s="145">
        <f t="shared" si="0"/>
        <v>10.024568324163466</v>
      </c>
    </row>
    <row r="16" spans="1:4" s="439" customFormat="1" ht="24.75" customHeight="1">
      <c r="A16" s="421" t="s">
        <v>63</v>
      </c>
      <c r="B16" s="443">
        <f>34871+20000-16354-4000-2031</f>
        <v>32486</v>
      </c>
      <c r="C16" s="115">
        <v>52861</v>
      </c>
      <c r="D16" s="145">
        <f t="shared" si="0"/>
        <v>-38.54448459166493</v>
      </c>
    </row>
    <row r="17" spans="1:4" s="439" customFormat="1" ht="24.75" customHeight="1">
      <c r="A17" s="421" t="s">
        <v>64</v>
      </c>
      <c r="B17" s="443">
        <v>2890</v>
      </c>
      <c r="C17" s="115">
        <v>3734</v>
      </c>
      <c r="D17" s="145">
        <f t="shared" si="0"/>
        <v>-22.603106588109267</v>
      </c>
    </row>
    <row r="18" spans="1:4" s="439" customFormat="1" ht="24.75" customHeight="1">
      <c r="A18" s="421" t="s">
        <v>65</v>
      </c>
      <c r="B18" s="443">
        <f>1129+800</f>
        <v>1929</v>
      </c>
      <c r="C18" s="115">
        <v>2092</v>
      </c>
      <c r="D18" s="145">
        <f t="shared" si="0"/>
        <v>-7.791586998087954</v>
      </c>
    </row>
    <row r="19" spans="1:4" s="439" customFormat="1" ht="24.75" customHeight="1">
      <c r="A19" s="421" t="s">
        <v>66</v>
      </c>
      <c r="B19" s="443">
        <v>20</v>
      </c>
      <c r="C19" s="115">
        <v>80</v>
      </c>
      <c r="D19" s="145">
        <f t="shared" si="0"/>
        <v>-75</v>
      </c>
    </row>
    <row r="20" spans="1:4" s="439" customFormat="1" ht="24.75" customHeight="1">
      <c r="A20" s="421" t="s">
        <v>67</v>
      </c>
      <c r="B20" s="443">
        <v>200</v>
      </c>
      <c r="C20" s="115"/>
      <c r="D20" s="145"/>
    </row>
    <row r="21" spans="1:4" s="439" customFormat="1" ht="24.75" customHeight="1">
      <c r="A21" s="421" t="s">
        <v>68</v>
      </c>
      <c r="B21" s="443">
        <v>1651</v>
      </c>
      <c r="C21" s="115">
        <v>2343</v>
      </c>
      <c r="D21" s="145">
        <f t="shared" si="0"/>
        <v>-29.53478446436193</v>
      </c>
    </row>
    <row r="22" spans="1:4" s="439" customFormat="1" ht="24.75" customHeight="1">
      <c r="A22" s="421" t="s">
        <v>69</v>
      </c>
      <c r="B22" s="443">
        <f>23964-5000-1145+3500-1469-3000-2000+4000</f>
        <v>18850</v>
      </c>
      <c r="C22" s="115">
        <v>10910</v>
      </c>
      <c r="D22" s="145">
        <f t="shared" si="0"/>
        <v>72.77726856095326</v>
      </c>
    </row>
    <row r="23" spans="1:4" s="439" customFormat="1" ht="24.75" customHeight="1">
      <c r="A23" s="421" t="s">
        <v>70</v>
      </c>
      <c r="B23" s="443">
        <v>855</v>
      </c>
      <c r="C23" s="115">
        <v>1334</v>
      </c>
      <c r="D23" s="145">
        <f t="shared" si="0"/>
        <v>-35.907046476761614</v>
      </c>
    </row>
    <row r="24" spans="1:4" s="439" customFormat="1" ht="24.75" customHeight="1">
      <c r="A24" s="422" t="s">
        <v>71</v>
      </c>
      <c r="B24" s="443">
        <f>1469+2031</f>
        <v>3500</v>
      </c>
      <c r="C24" s="115">
        <v>1365</v>
      </c>
      <c r="D24" s="145">
        <f t="shared" si="0"/>
        <v>156.4102564102564</v>
      </c>
    </row>
    <row r="25" spans="1:4" s="439" customFormat="1" ht="24.75" customHeight="1">
      <c r="A25" s="421" t="s">
        <v>72</v>
      </c>
      <c r="B25" s="443">
        <f>5467+2000</f>
        <v>7467</v>
      </c>
      <c r="C25" s="115">
        <v>7569</v>
      </c>
      <c r="D25" s="145">
        <f t="shared" si="0"/>
        <v>-1.3476020610384463</v>
      </c>
    </row>
    <row r="26" spans="1:4" s="439" customFormat="1" ht="24.75" customHeight="1">
      <c r="A26" s="119" t="s">
        <v>73</v>
      </c>
      <c r="B26" s="443">
        <f>SUM(B4:B25)</f>
        <v>419398</v>
      </c>
      <c r="C26" s="115">
        <f>SUM(C4:C25)</f>
        <v>378059</v>
      </c>
      <c r="D26" s="145">
        <f t="shared" si="0"/>
        <v>10.93453667284736</v>
      </c>
    </row>
    <row r="27" spans="1:4" ht="24.75" customHeight="1">
      <c r="A27" s="461"/>
      <c r="B27" s="462"/>
      <c r="C27" s="462"/>
      <c r="D27" s="462"/>
    </row>
    <row r="28" spans="1:4" ht="21" customHeight="1">
      <c r="A28" s="463"/>
      <c r="B28" s="463"/>
      <c r="C28" s="463"/>
      <c r="D28" s="463"/>
    </row>
    <row r="29" spans="1:4" ht="31.5" customHeight="1">
      <c r="A29" s="463"/>
      <c r="B29" s="463"/>
      <c r="C29" s="463"/>
      <c r="D29" s="463"/>
    </row>
    <row r="30" spans="1:4" ht="15.75">
      <c r="A30" s="464"/>
      <c r="B30" s="464"/>
      <c r="C30" s="464"/>
      <c r="D30" s="464"/>
    </row>
    <row r="31" spans="1:4" ht="7.5" customHeight="1">
      <c r="A31" s="464"/>
      <c r="B31" s="464"/>
      <c r="C31" s="464"/>
      <c r="D31" s="464"/>
    </row>
    <row r="32" spans="1:4" ht="14.25" customHeight="1">
      <c r="A32" s="464"/>
      <c r="B32" s="464"/>
      <c r="C32" s="464"/>
      <c r="D32" s="464"/>
    </row>
    <row r="33" spans="1:4" ht="6" customHeight="1" hidden="1">
      <c r="A33" s="464"/>
      <c r="B33" s="464"/>
      <c r="C33" s="464"/>
      <c r="D33" s="464"/>
    </row>
    <row r="41" ht="15.75">
      <c r="A41" s="424"/>
    </row>
  </sheetData>
  <sheetProtection/>
  <mergeCells count="2">
    <mergeCell ref="A1:D1"/>
    <mergeCell ref="A27:D33"/>
  </mergeCells>
  <printOptions horizontalCentered="1"/>
  <pageMargins left="0.79" right="0.79" top="0.98" bottom="0.98" header="0.2" footer="0.79"/>
  <pageSetup firstPageNumber="4" useFirstPageNumber="1" horizontalDpi="600" verticalDpi="600" orientation="portrait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zoomScalePageLayoutView="0" workbookViewId="0" topLeftCell="A1">
      <pane xSplit="1" ySplit="3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1" sqref="C11"/>
    </sheetView>
  </sheetViews>
  <sheetFormatPr defaultColWidth="9.00390625" defaultRowHeight="14.25"/>
  <cols>
    <col min="1" max="1" width="35.625" style="417" customWidth="1"/>
    <col min="2" max="4" width="9.75390625" style="417" customWidth="1"/>
    <col min="5" max="5" width="9.75390625" style="417" hidden="1" customWidth="1"/>
    <col min="6" max="6" width="9.75390625" style="417" customWidth="1"/>
    <col min="7" max="16384" width="9.00390625" style="417" customWidth="1"/>
  </cols>
  <sheetData>
    <row r="1" spans="1:6" s="416" customFormat="1" ht="49.5" customHeight="1">
      <c r="A1" s="456" t="s">
        <v>82</v>
      </c>
      <c r="B1" s="456"/>
      <c r="C1" s="456"/>
      <c r="D1" s="456"/>
      <c r="E1" s="456"/>
      <c r="F1" s="456"/>
    </row>
    <row r="2" spans="1:6" ht="26.25" customHeight="1">
      <c r="A2" s="111"/>
      <c r="B2" s="111"/>
      <c r="C2" s="111"/>
      <c r="D2" s="142"/>
      <c r="E2" s="111"/>
      <c r="F2" s="142" t="s">
        <v>1</v>
      </c>
    </row>
    <row r="3" spans="1:6" ht="30" customHeight="1">
      <c r="A3" s="393" t="s">
        <v>83</v>
      </c>
      <c r="B3" s="394" t="s">
        <v>3</v>
      </c>
      <c r="C3" s="268" t="s">
        <v>81</v>
      </c>
      <c r="D3" s="395" t="s">
        <v>84</v>
      </c>
      <c r="E3" s="394" t="s">
        <v>49</v>
      </c>
      <c r="F3" s="396" t="s">
        <v>85</v>
      </c>
    </row>
    <row r="4" spans="1:6" ht="25.5" customHeight="1">
      <c r="A4" s="123" t="s">
        <v>86</v>
      </c>
      <c r="B4" s="418">
        <v>160</v>
      </c>
      <c r="C4" s="418">
        <f>-6+158</f>
        <v>152</v>
      </c>
      <c r="D4" s="398">
        <f aca="true" t="shared" si="0" ref="D4:D21">C4/B4*100</f>
        <v>95</v>
      </c>
      <c r="E4" s="418">
        <v>187</v>
      </c>
      <c r="F4" s="399">
        <f>+(C4-E4)/E4*100</f>
        <v>-18.71657754010695</v>
      </c>
    </row>
    <row r="5" spans="1:6" ht="25.5" customHeight="1">
      <c r="A5" s="123" t="s">
        <v>87</v>
      </c>
      <c r="B5" s="418">
        <v>863</v>
      </c>
      <c r="C5" s="418">
        <f>-98+1055-28</f>
        <v>929</v>
      </c>
      <c r="D5" s="398">
        <f t="shared" si="0"/>
        <v>107.64774044032445</v>
      </c>
      <c r="E5" s="418">
        <v>836</v>
      </c>
      <c r="F5" s="399">
        <f aca="true" t="shared" si="1" ref="F5:F21">+(C5-E5)/E5*100</f>
        <v>11.124401913875598</v>
      </c>
    </row>
    <row r="6" spans="1:6" ht="25.5" customHeight="1">
      <c r="A6" s="123" t="s">
        <v>88</v>
      </c>
      <c r="B6" s="418">
        <v>682</v>
      </c>
      <c r="C6" s="418">
        <v>0</v>
      </c>
      <c r="D6" s="398">
        <f t="shared" si="0"/>
        <v>0</v>
      </c>
      <c r="E6" s="418">
        <v>10751</v>
      </c>
      <c r="F6" s="399"/>
    </row>
    <row r="7" spans="1:6" ht="25.5" customHeight="1">
      <c r="A7" s="123" t="s">
        <v>89</v>
      </c>
      <c r="B7" s="418">
        <v>2168</v>
      </c>
      <c r="C7" s="418">
        <f>-131+2240</f>
        <v>2109</v>
      </c>
      <c r="D7" s="398">
        <f t="shared" si="0"/>
        <v>97.27859778597787</v>
      </c>
      <c r="E7" s="418">
        <v>1782</v>
      </c>
      <c r="F7" s="399">
        <f t="shared" si="1"/>
        <v>18.35016835016835</v>
      </c>
    </row>
    <row r="8" spans="1:6" ht="25.5" customHeight="1">
      <c r="A8" s="123" t="s">
        <v>90</v>
      </c>
      <c r="B8" s="418">
        <v>4276</v>
      </c>
      <c r="C8" s="418">
        <f>-976+3677+815</f>
        <v>3516</v>
      </c>
      <c r="D8" s="398">
        <f t="shared" si="0"/>
        <v>82.22637979420018</v>
      </c>
      <c r="E8" s="418">
        <v>4420</v>
      </c>
      <c r="F8" s="399">
        <f t="shared" si="1"/>
        <v>-20.452488687782804</v>
      </c>
    </row>
    <row r="9" spans="1:6" ht="25.5" customHeight="1">
      <c r="A9" s="123" t="s">
        <v>91</v>
      </c>
      <c r="B9" s="418">
        <v>1280</v>
      </c>
      <c r="C9" s="418">
        <f>-360+1502+143</f>
        <v>1285</v>
      </c>
      <c r="D9" s="398">
        <f t="shared" si="0"/>
        <v>100.390625</v>
      </c>
      <c r="E9" s="418">
        <v>1266</v>
      </c>
      <c r="F9" s="399">
        <f t="shared" si="1"/>
        <v>1.5007898894154819</v>
      </c>
    </row>
    <row r="10" spans="1:6" ht="25.5" customHeight="1">
      <c r="A10" s="123" t="s">
        <v>92</v>
      </c>
      <c r="B10" s="418">
        <v>347231</v>
      </c>
      <c r="C10" s="418">
        <f>8832+334336-815-143+1000</f>
        <v>343210</v>
      </c>
      <c r="D10" s="398">
        <f t="shared" si="0"/>
        <v>98.84198127471338</v>
      </c>
      <c r="E10" s="418">
        <v>269723</v>
      </c>
      <c r="F10" s="399">
        <f t="shared" si="1"/>
        <v>27.245359127697675</v>
      </c>
    </row>
    <row r="11" spans="1:6" ht="25.5" customHeight="1">
      <c r="A11" s="123" t="s">
        <v>93</v>
      </c>
      <c r="B11" s="418">
        <v>100</v>
      </c>
      <c r="C11" s="418">
        <v>100</v>
      </c>
      <c r="D11" s="398">
        <f t="shared" si="0"/>
        <v>100</v>
      </c>
      <c r="E11" s="418">
        <v>0</v>
      </c>
      <c r="F11" s="399"/>
    </row>
    <row r="12" spans="1:6" ht="25.5" customHeight="1">
      <c r="A12" s="123" t="s">
        <v>94</v>
      </c>
      <c r="B12" s="418">
        <v>0</v>
      </c>
      <c r="C12" s="418">
        <v>0</v>
      </c>
      <c r="D12" s="398"/>
      <c r="E12" s="418">
        <v>0</v>
      </c>
      <c r="F12" s="399"/>
    </row>
    <row r="13" spans="1:6" ht="25.5" customHeight="1">
      <c r="A13" s="123" t="s">
        <v>95</v>
      </c>
      <c r="B13" s="418">
        <v>3852</v>
      </c>
      <c r="C13" s="418">
        <f>2084+3470</f>
        <v>5554</v>
      </c>
      <c r="D13" s="398">
        <f t="shared" si="0"/>
        <v>144.18483904465214</v>
      </c>
      <c r="E13" s="418">
        <v>2733</v>
      </c>
      <c r="F13" s="399">
        <f t="shared" si="1"/>
        <v>103.21990486644712</v>
      </c>
    </row>
    <row r="14" spans="1:6" ht="25.5" customHeight="1">
      <c r="A14" s="123" t="s">
        <v>96</v>
      </c>
      <c r="B14" s="418">
        <v>0</v>
      </c>
      <c r="C14" s="418">
        <v>0</v>
      </c>
      <c r="D14" s="398"/>
      <c r="E14" s="418">
        <v>100</v>
      </c>
      <c r="F14" s="399"/>
    </row>
    <row r="15" spans="1:6" ht="25.5" customHeight="1">
      <c r="A15" s="123" t="s">
        <v>97</v>
      </c>
      <c r="B15" s="418">
        <v>0</v>
      </c>
      <c r="C15" s="418">
        <v>0</v>
      </c>
      <c r="D15" s="398"/>
      <c r="E15" s="418">
        <v>0</v>
      </c>
      <c r="F15" s="399"/>
    </row>
    <row r="16" spans="1:6" ht="25.5" customHeight="1">
      <c r="A16" s="123" t="s">
        <v>98</v>
      </c>
      <c r="B16" s="418">
        <v>53</v>
      </c>
      <c r="C16" s="418">
        <v>61</v>
      </c>
      <c r="D16" s="398">
        <f t="shared" si="0"/>
        <v>115.09433962264151</v>
      </c>
      <c r="E16" s="418">
        <v>120</v>
      </c>
      <c r="F16" s="399">
        <f t="shared" si="1"/>
        <v>-49.166666666666664</v>
      </c>
    </row>
    <row r="17" spans="1:6" ht="25.5" customHeight="1">
      <c r="A17" s="123" t="s">
        <v>99</v>
      </c>
      <c r="B17" s="418">
        <v>0</v>
      </c>
      <c r="C17" s="418">
        <v>0</v>
      </c>
      <c r="D17" s="398"/>
      <c r="E17" s="418">
        <v>3</v>
      </c>
      <c r="F17" s="399"/>
    </row>
    <row r="18" spans="1:6" ht="25.5" customHeight="1">
      <c r="A18" s="123" t="s">
        <v>100</v>
      </c>
      <c r="B18" s="418">
        <v>0</v>
      </c>
      <c r="C18" s="418">
        <v>10</v>
      </c>
      <c r="D18" s="398"/>
      <c r="E18" s="418">
        <v>174</v>
      </c>
      <c r="F18" s="399">
        <f t="shared" si="1"/>
        <v>-94.25287356321839</v>
      </c>
    </row>
    <row r="19" spans="1:6" ht="25.5" customHeight="1">
      <c r="A19" s="123" t="s">
        <v>101</v>
      </c>
      <c r="B19" s="418">
        <v>3044</v>
      </c>
      <c r="C19" s="418">
        <f>-420+2513</f>
        <v>2093</v>
      </c>
      <c r="D19" s="398">
        <f t="shared" si="0"/>
        <v>68.75821287779237</v>
      </c>
      <c r="E19" s="418">
        <v>6932</v>
      </c>
      <c r="F19" s="399">
        <f t="shared" si="1"/>
        <v>-69.8066935949221</v>
      </c>
    </row>
    <row r="20" spans="1:6" ht="25.5" customHeight="1">
      <c r="A20" s="127" t="s">
        <v>102</v>
      </c>
      <c r="B20" s="418">
        <v>4350</v>
      </c>
      <c r="C20" s="418">
        <f>-1025+4350</f>
        <v>3325</v>
      </c>
      <c r="D20" s="398">
        <f t="shared" si="0"/>
        <v>76.4367816091954</v>
      </c>
      <c r="E20" s="418">
        <v>3153</v>
      </c>
      <c r="F20" s="399">
        <f t="shared" si="1"/>
        <v>5.45512210593086</v>
      </c>
    </row>
    <row r="21" spans="1:6" ht="25.5" customHeight="1">
      <c r="A21" s="400" t="s">
        <v>103</v>
      </c>
      <c r="B21" s="407">
        <f>SUM(B4:B20)</f>
        <v>368059</v>
      </c>
      <c r="C21" s="407">
        <f>SUM(C4:C20)</f>
        <v>362344</v>
      </c>
      <c r="D21" s="401">
        <f t="shared" si="0"/>
        <v>98.44725981432325</v>
      </c>
      <c r="E21" s="407">
        <f>SUM(E4:E20)</f>
        <v>302180</v>
      </c>
      <c r="F21" s="402">
        <f t="shared" si="1"/>
        <v>19.909987424713744</v>
      </c>
    </row>
    <row r="22" spans="1:6" ht="107.25" customHeight="1">
      <c r="A22" s="465" t="s">
        <v>104</v>
      </c>
      <c r="B22" s="465"/>
      <c r="C22" s="465"/>
      <c r="D22" s="465"/>
      <c r="E22" s="465"/>
      <c r="F22" s="465"/>
    </row>
    <row r="23" spans="1:6" ht="30.75" customHeight="1">
      <c r="A23" s="466"/>
      <c r="B23" s="466"/>
      <c r="C23" s="466"/>
      <c r="D23" s="466"/>
      <c r="E23" s="466"/>
      <c r="F23" s="466"/>
    </row>
  </sheetData>
  <sheetProtection/>
  <mergeCells count="3">
    <mergeCell ref="A1:F1"/>
    <mergeCell ref="A22:F22"/>
    <mergeCell ref="A23:F23"/>
  </mergeCells>
  <printOptions horizontalCentered="1"/>
  <pageMargins left="0.79" right="0.79" top="1.05" bottom="0.98" header="0.2" footer="0.79"/>
  <pageSetup firstPageNumber="9" useFirstPageNumber="1" horizontalDpi="180" verticalDpi="180" orientation="portrait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showZeros="0" zoomScalePageLayoutView="0" workbookViewId="0" topLeftCell="A1">
      <selection activeCell="A4" sqref="A4"/>
    </sheetView>
  </sheetViews>
  <sheetFormatPr defaultColWidth="9.00390625" defaultRowHeight="14.25"/>
  <cols>
    <col min="1" max="1" width="32.25390625" style="385" customWidth="1"/>
    <col min="2" max="2" width="9.875" style="385" customWidth="1"/>
    <col min="3" max="3" width="10.50390625" style="385" customWidth="1"/>
    <col min="4" max="4" width="9.125" style="385" customWidth="1"/>
    <col min="5" max="5" width="7.25390625" style="385" hidden="1" customWidth="1"/>
    <col min="6" max="6" width="9.875" style="385" customWidth="1"/>
    <col min="7" max="16384" width="9.00390625" style="385" customWidth="1"/>
  </cols>
  <sheetData>
    <row r="1" spans="1:6" s="383" customFormat="1" ht="45" customHeight="1">
      <c r="A1" s="456" t="s">
        <v>105</v>
      </c>
      <c r="B1" s="456"/>
      <c r="C1" s="456"/>
      <c r="D1" s="456"/>
      <c r="E1" s="456"/>
      <c r="F1" s="456"/>
    </row>
    <row r="2" spans="4:6" ht="22.5" customHeight="1">
      <c r="D2" s="467" t="s">
        <v>106</v>
      </c>
      <c r="E2" s="467"/>
      <c r="F2" s="467"/>
    </row>
    <row r="3" spans="1:6" ht="57.75" customHeight="1">
      <c r="A3" s="408" t="s">
        <v>107</v>
      </c>
      <c r="B3" s="409" t="s">
        <v>108</v>
      </c>
      <c r="C3" s="410" t="s">
        <v>109</v>
      </c>
      <c r="D3" s="411" t="s">
        <v>110</v>
      </c>
      <c r="E3" s="410" t="s">
        <v>111</v>
      </c>
      <c r="F3" s="409" t="s">
        <v>112</v>
      </c>
    </row>
    <row r="4" spans="1:6" ht="54.75" customHeight="1">
      <c r="A4" s="412" t="s">
        <v>113</v>
      </c>
      <c r="B4" s="413">
        <v>0</v>
      </c>
      <c r="C4" s="413">
        <f>319+20</f>
        <v>339</v>
      </c>
      <c r="D4" s="414"/>
      <c r="E4" s="413">
        <v>0</v>
      </c>
      <c r="F4" s="414"/>
    </row>
    <row r="5" spans="1:6" ht="54.75" customHeight="1">
      <c r="A5" s="412" t="s">
        <v>114</v>
      </c>
      <c r="B5" s="413">
        <v>1454</v>
      </c>
      <c r="C5" s="413">
        <f>13424+95</f>
        <v>13519</v>
      </c>
      <c r="D5" s="414">
        <f aca="true" t="shared" si="0" ref="D5:D13">+C5/B5*100</f>
        <v>929.7799174690508</v>
      </c>
      <c r="E5" s="413">
        <v>15626</v>
      </c>
      <c r="F5" s="414">
        <f>+(C5-E5)/E5*100</f>
        <v>-13.483937028030207</v>
      </c>
    </row>
    <row r="6" spans="1:6" ht="54.75" customHeight="1">
      <c r="A6" s="412" t="s">
        <v>115</v>
      </c>
      <c r="B6" s="413">
        <v>0</v>
      </c>
      <c r="C6" s="413">
        <v>0</v>
      </c>
      <c r="D6" s="414"/>
      <c r="E6" s="413"/>
      <c r="F6" s="414"/>
    </row>
    <row r="7" spans="1:6" ht="54.75" customHeight="1">
      <c r="A7" s="412" t="s">
        <v>116</v>
      </c>
      <c r="B7" s="413">
        <f>4350+386914</f>
        <v>391264</v>
      </c>
      <c r="C7" s="413">
        <f>4350+374400+97-3600+1000</f>
        <v>376247</v>
      </c>
      <c r="D7" s="414">
        <f t="shared" si="0"/>
        <v>96.16192647419645</v>
      </c>
      <c r="E7" s="413">
        <v>321793</v>
      </c>
      <c r="F7" s="414">
        <f aca="true" t="shared" si="1" ref="F7:F13">+(C7-E7)/E7*100</f>
        <v>16.922058590460328</v>
      </c>
    </row>
    <row r="8" spans="1:6" ht="54.75" customHeight="1">
      <c r="A8" s="412" t="s">
        <v>117</v>
      </c>
      <c r="B8" s="413">
        <v>65</v>
      </c>
      <c r="C8" s="413">
        <f>503</f>
        <v>503</v>
      </c>
      <c r="D8" s="414">
        <f t="shared" si="0"/>
        <v>773.8461538461538</v>
      </c>
      <c r="E8" s="413">
        <v>3685</v>
      </c>
      <c r="F8" s="414">
        <f t="shared" si="1"/>
        <v>-86.35006784260516</v>
      </c>
    </row>
    <row r="9" spans="1:6" ht="64.5" customHeight="1">
      <c r="A9" s="412" t="s">
        <v>118</v>
      </c>
      <c r="B9" s="413">
        <v>53</v>
      </c>
      <c r="C9" s="413">
        <v>52</v>
      </c>
      <c r="D9" s="414">
        <f t="shared" si="0"/>
        <v>98.11320754716981</v>
      </c>
      <c r="E9" s="413">
        <v>130</v>
      </c>
      <c r="F9" s="414">
        <f t="shared" si="1"/>
        <v>-60</v>
      </c>
    </row>
    <row r="10" spans="1:6" ht="54.75" customHeight="1">
      <c r="A10" s="412" t="s">
        <v>119</v>
      </c>
      <c r="B10" s="413">
        <v>1051</v>
      </c>
      <c r="C10" s="413">
        <f>632-18-34</f>
        <v>580</v>
      </c>
      <c r="D10" s="414">
        <f t="shared" si="0"/>
        <v>55.18553758325404</v>
      </c>
      <c r="E10" s="413">
        <v>1035</v>
      </c>
      <c r="F10" s="414">
        <f t="shared" si="1"/>
        <v>-43.96135265700483</v>
      </c>
    </row>
    <row r="11" spans="1:6" ht="54.75" customHeight="1">
      <c r="A11" s="412" t="s">
        <v>120</v>
      </c>
      <c r="B11" s="413">
        <v>110</v>
      </c>
      <c r="C11" s="413">
        <v>110</v>
      </c>
      <c r="D11" s="414">
        <f t="shared" si="0"/>
        <v>100</v>
      </c>
      <c r="E11" s="413">
        <v>100</v>
      </c>
      <c r="F11" s="414">
        <f t="shared" si="1"/>
        <v>10</v>
      </c>
    </row>
    <row r="12" spans="1:6" ht="54.75" customHeight="1">
      <c r="A12" s="412" t="s">
        <v>121</v>
      </c>
      <c r="B12" s="413">
        <v>5558</v>
      </c>
      <c r="C12" s="413">
        <f>10304+1567</f>
        <v>11871</v>
      </c>
      <c r="D12" s="414">
        <f t="shared" si="0"/>
        <v>213.58402302986684</v>
      </c>
      <c r="E12" s="413">
        <v>26039</v>
      </c>
      <c r="F12" s="414">
        <f t="shared" si="1"/>
        <v>-54.41069165482545</v>
      </c>
    </row>
    <row r="13" spans="1:6" ht="54.75" customHeight="1">
      <c r="A13" s="415" t="s">
        <v>122</v>
      </c>
      <c r="B13" s="413">
        <f>SUM(B4:B12)</f>
        <v>399555</v>
      </c>
      <c r="C13" s="413">
        <f>SUM(C4:C12)</f>
        <v>403221</v>
      </c>
      <c r="D13" s="414">
        <f t="shared" si="0"/>
        <v>100.91752074182527</v>
      </c>
      <c r="E13" s="413">
        <v>371350</v>
      </c>
      <c r="F13" s="414">
        <f t="shared" si="1"/>
        <v>8.582469368520265</v>
      </c>
    </row>
  </sheetData>
  <sheetProtection/>
  <mergeCells count="2">
    <mergeCell ref="A1:F1"/>
    <mergeCell ref="D2:F2"/>
  </mergeCells>
  <printOptions horizontalCentered="1"/>
  <pageMargins left="0.47" right="0.47" top="0.59" bottom="0.59" header="0.2" footer="0.39"/>
  <pageSetup firstPageNumber="10" useFirstPageNumber="1" horizontalDpi="600" verticalDpi="600" orientation="portrait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" sqref="D6"/>
    </sheetView>
  </sheetViews>
  <sheetFormatPr defaultColWidth="9.00390625" defaultRowHeight="14.25"/>
  <cols>
    <col min="1" max="1" width="33.75390625" style="152" customWidth="1"/>
    <col min="2" max="2" width="10.625" style="404" customWidth="1"/>
    <col min="3" max="3" width="9.25390625" style="152" customWidth="1"/>
    <col min="4" max="4" width="11.00390625" style="152" customWidth="1"/>
    <col min="5" max="5" width="8.50390625" style="152" hidden="1" customWidth="1"/>
    <col min="6" max="6" width="10.75390625" style="152" customWidth="1"/>
    <col min="7" max="16384" width="9.00390625" style="152" customWidth="1"/>
  </cols>
  <sheetData>
    <row r="1" spans="1:6" s="392" customFormat="1" ht="47.25" customHeight="1">
      <c r="A1" s="468" t="s">
        <v>123</v>
      </c>
      <c r="B1" s="468"/>
      <c r="C1" s="468"/>
      <c r="D1" s="468"/>
      <c r="E1" s="468"/>
      <c r="F1" s="468"/>
    </row>
    <row r="2" spans="1:6" ht="21.75" customHeight="1">
      <c r="A2" s="405"/>
      <c r="B2" s="406"/>
      <c r="C2" s="405"/>
      <c r="D2" s="469" t="s">
        <v>1</v>
      </c>
      <c r="E2" s="469"/>
      <c r="F2" s="469"/>
    </row>
    <row r="3" spans="1:6" ht="28.5">
      <c r="A3" s="393" t="s">
        <v>83</v>
      </c>
      <c r="B3" s="394" t="s">
        <v>3</v>
      </c>
      <c r="C3" s="268" t="s">
        <v>81</v>
      </c>
      <c r="D3" s="395" t="s">
        <v>84</v>
      </c>
      <c r="E3" s="394" t="s">
        <v>49</v>
      </c>
      <c r="F3" s="396" t="s">
        <v>85</v>
      </c>
    </row>
    <row r="4" spans="1:6" ht="36.75" customHeight="1">
      <c r="A4" s="123" t="s">
        <v>86</v>
      </c>
      <c r="B4" s="397">
        <v>0</v>
      </c>
      <c r="C4" s="397">
        <v>0</v>
      </c>
      <c r="D4" s="397"/>
      <c r="E4" s="397">
        <v>67</v>
      </c>
      <c r="F4" s="399"/>
    </row>
    <row r="5" spans="1:6" ht="36.75" customHeight="1">
      <c r="A5" s="123" t="s">
        <v>87</v>
      </c>
      <c r="B5" s="397">
        <v>98</v>
      </c>
      <c r="C5" s="397"/>
      <c r="D5" s="398">
        <f aca="true" t="shared" si="0" ref="D5:D11">C5/B5*100</f>
        <v>0</v>
      </c>
      <c r="E5" s="397">
        <v>260</v>
      </c>
      <c r="F5" s="399"/>
    </row>
    <row r="6" spans="1:6" ht="36.75" customHeight="1">
      <c r="A6" s="123" t="s">
        <v>88</v>
      </c>
      <c r="B6" s="397">
        <v>0</v>
      </c>
      <c r="C6" s="397">
        <v>0</v>
      </c>
      <c r="D6" s="398"/>
      <c r="E6" s="397">
        <v>7991</v>
      </c>
      <c r="F6" s="399"/>
    </row>
    <row r="7" spans="1:6" ht="36.75" customHeight="1">
      <c r="A7" s="123" t="s">
        <v>89</v>
      </c>
      <c r="B7" s="397">
        <v>1400</v>
      </c>
      <c r="C7" s="397">
        <v>1269</v>
      </c>
      <c r="D7" s="398">
        <f t="shared" si="0"/>
        <v>90.64285714285715</v>
      </c>
      <c r="E7" s="397">
        <v>705</v>
      </c>
      <c r="F7" s="399">
        <f>+(C7-E7)/E7*100</f>
        <v>80</v>
      </c>
    </row>
    <row r="8" spans="1:6" ht="36.75" customHeight="1">
      <c r="A8" s="123" t="s">
        <v>90</v>
      </c>
      <c r="B8" s="397">
        <v>976</v>
      </c>
      <c r="C8" s="397">
        <v>815</v>
      </c>
      <c r="D8" s="398">
        <f t="shared" si="0"/>
        <v>83.50409836065575</v>
      </c>
      <c r="E8" s="397">
        <v>408</v>
      </c>
      <c r="F8" s="399">
        <f>+(C8-E8)/E8*100</f>
        <v>99.75490196078431</v>
      </c>
    </row>
    <row r="9" spans="1:6" ht="36.75" customHeight="1">
      <c r="A9" s="123" t="s">
        <v>91</v>
      </c>
      <c r="B9" s="397">
        <v>360</v>
      </c>
      <c r="C9" s="397">
        <v>143</v>
      </c>
      <c r="D9" s="398">
        <f t="shared" si="0"/>
        <v>39.72222222222222</v>
      </c>
      <c r="E9" s="397">
        <v>144</v>
      </c>
      <c r="F9" s="399">
        <f>+(C9-E9)/E9*100</f>
        <v>-0.6944444444444444</v>
      </c>
    </row>
    <row r="10" spans="1:6" ht="36.75" customHeight="1">
      <c r="A10" s="123" t="s">
        <v>92</v>
      </c>
      <c r="B10" s="397">
        <v>119251</v>
      </c>
      <c r="C10" s="397">
        <f>128083-815-143</f>
        <v>127125</v>
      </c>
      <c r="D10" s="398">
        <f t="shared" si="0"/>
        <v>106.6028796404223</v>
      </c>
      <c r="E10" s="397">
        <v>110181</v>
      </c>
      <c r="F10" s="399">
        <f>+(C10-E10)/E10*100</f>
        <v>15.378332017316959</v>
      </c>
    </row>
    <row r="11" spans="1:6" ht="36.75" customHeight="1">
      <c r="A11" s="123" t="s">
        <v>95</v>
      </c>
      <c r="B11" s="397">
        <v>2600</v>
      </c>
      <c r="C11" s="397">
        <v>4684</v>
      </c>
      <c r="D11" s="398">
        <f t="shared" si="0"/>
        <v>180.15384615384616</v>
      </c>
      <c r="E11" s="397">
        <v>2038</v>
      </c>
      <c r="F11" s="399">
        <f>+(C11-E11)/E11*100</f>
        <v>129.8331697742885</v>
      </c>
    </row>
    <row r="12" spans="1:6" ht="36.75" customHeight="1">
      <c r="A12" s="123" t="s">
        <v>99</v>
      </c>
      <c r="B12" s="397">
        <v>0</v>
      </c>
      <c r="C12" s="397">
        <v>0</v>
      </c>
      <c r="D12" s="398"/>
      <c r="E12" s="397">
        <v>3</v>
      </c>
      <c r="F12" s="399"/>
    </row>
    <row r="13" spans="1:6" ht="36.75" customHeight="1">
      <c r="A13" s="123" t="s">
        <v>100</v>
      </c>
      <c r="B13" s="397">
        <v>0</v>
      </c>
      <c r="C13" s="397">
        <v>0</v>
      </c>
      <c r="D13" s="398"/>
      <c r="E13" s="397">
        <v>106</v>
      </c>
      <c r="F13" s="399"/>
    </row>
    <row r="14" spans="1:6" ht="36.75" customHeight="1">
      <c r="A14" s="123" t="s">
        <v>101</v>
      </c>
      <c r="B14" s="397">
        <v>1018</v>
      </c>
      <c r="C14" s="397">
        <v>598</v>
      </c>
      <c r="D14" s="398">
        <f>C14/B14*100</f>
        <v>58.7426326129666</v>
      </c>
      <c r="E14" s="397">
        <v>3495</v>
      </c>
      <c r="F14" s="399">
        <f>+(C14-E14)/E14*100</f>
        <v>-82.8898426323319</v>
      </c>
    </row>
    <row r="15" spans="1:6" ht="36.75" customHeight="1">
      <c r="A15" s="127" t="s">
        <v>102</v>
      </c>
      <c r="B15" s="397">
        <v>3600</v>
      </c>
      <c r="C15" s="397">
        <v>2575</v>
      </c>
      <c r="D15" s="398">
        <f>C15/B15*100</f>
        <v>71.52777777777779</v>
      </c>
      <c r="E15" s="397">
        <v>2317</v>
      </c>
      <c r="F15" s="399">
        <f>+(C15-E15)/E15*100</f>
        <v>11.135088476478204</v>
      </c>
    </row>
    <row r="16" spans="1:6" ht="36.75" customHeight="1">
      <c r="A16" s="400" t="s">
        <v>103</v>
      </c>
      <c r="B16" s="407">
        <f>SUM(B4:B15)</f>
        <v>129303</v>
      </c>
      <c r="C16" s="407">
        <f>SUM(C4:C15)</f>
        <v>137209</v>
      </c>
      <c r="D16" s="401">
        <f>C16/B16*100</f>
        <v>106.11432062674493</v>
      </c>
      <c r="E16" s="407">
        <f>SUM(E4:E15)</f>
        <v>127715</v>
      </c>
      <c r="F16" s="402">
        <f>+(C16-E16)/E16*100</f>
        <v>7.433739184903887</v>
      </c>
    </row>
    <row r="17" spans="1:6" ht="105.75" customHeight="1">
      <c r="A17" s="465" t="s">
        <v>124</v>
      </c>
      <c r="B17" s="465"/>
      <c r="C17" s="465"/>
      <c r="D17" s="465"/>
      <c r="E17" s="465"/>
      <c r="F17" s="465"/>
    </row>
  </sheetData>
  <sheetProtection/>
  <mergeCells count="3">
    <mergeCell ref="A1:F1"/>
    <mergeCell ref="D2:F2"/>
    <mergeCell ref="A17:F17"/>
  </mergeCells>
  <printOptions horizontalCentered="1"/>
  <pageMargins left="0.79" right="0.79" top="0.98" bottom="0.98" header="0.2" footer="0.79"/>
  <pageSetup firstPageNumber="11" useFirstPageNumber="1" horizontalDpi="600" verticalDpi="600" orientation="portrait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showZeros="0" zoomScalePageLayoutView="0" workbookViewId="0" topLeftCell="A1">
      <selection activeCell="I7" sqref="I7"/>
    </sheetView>
  </sheetViews>
  <sheetFormatPr defaultColWidth="9.00390625" defaultRowHeight="14.25"/>
  <cols>
    <col min="1" max="1" width="32.625" style="385" customWidth="1"/>
    <col min="2" max="2" width="9.875" style="385" customWidth="1"/>
    <col min="3" max="3" width="11.25390625" style="385" customWidth="1"/>
    <col min="4" max="4" width="10.25390625" style="385" customWidth="1"/>
    <col min="5" max="5" width="7.625" style="385" hidden="1" customWidth="1"/>
    <col min="6" max="6" width="10.375" style="385" customWidth="1"/>
    <col min="7" max="16384" width="9.00390625" style="385" customWidth="1"/>
  </cols>
  <sheetData>
    <row r="1" spans="1:6" s="383" customFormat="1" ht="51" customHeight="1">
      <c r="A1" s="470" t="s">
        <v>125</v>
      </c>
      <c r="B1" s="470"/>
      <c r="C1" s="470"/>
      <c r="D1" s="470"/>
      <c r="E1" s="470"/>
      <c r="F1" s="470"/>
    </row>
    <row r="2" spans="5:6" s="384" customFormat="1" ht="26.25" customHeight="1">
      <c r="E2" s="471" t="s">
        <v>126</v>
      </c>
      <c r="F2" s="471"/>
    </row>
    <row r="3" spans="1:6" s="384" customFormat="1" ht="54.75" customHeight="1">
      <c r="A3" s="77" t="s">
        <v>47</v>
      </c>
      <c r="B3" s="386" t="s">
        <v>3</v>
      </c>
      <c r="C3" s="386" t="s">
        <v>4</v>
      </c>
      <c r="D3" s="387" t="s">
        <v>84</v>
      </c>
      <c r="E3" s="386" t="s">
        <v>127</v>
      </c>
      <c r="F3" s="386" t="s">
        <v>50</v>
      </c>
    </row>
    <row r="4" spans="1:6" s="384" customFormat="1" ht="54.75" customHeight="1">
      <c r="A4" s="388" t="s">
        <v>113</v>
      </c>
      <c r="B4" s="389">
        <v>0</v>
      </c>
      <c r="C4" s="403">
        <v>20</v>
      </c>
      <c r="D4" s="389"/>
      <c r="E4" s="389">
        <v>0</v>
      </c>
      <c r="F4" s="390"/>
    </row>
    <row r="5" spans="1:6" s="384" customFormat="1" ht="54.75" customHeight="1">
      <c r="A5" s="388" t="s">
        <v>114</v>
      </c>
      <c r="B5" s="389">
        <v>0</v>
      </c>
      <c r="C5" s="403">
        <v>95</v>
      </c>
      <c r="D5" s="389"/>
      <c r="E5" s="389">
        <v>124</v>
      </c>
      <c r="F5" s="390"/>
    </row>
    <row r="6" spans="1:6" s="384" customFormat="1" ht="54.75" customHeight="1">
      <c r="A6" s="388" t="s">
        <v>115</v>
      </c>
      <c r="B6" s="389">
        <v>0</v>
      </c>
      <c r="C6" s="403">
        <v>0</v>
      </c>
      <c r="D6" s="389"/>
      <c r="E6" s="389">
        <v>0</v>
      </c>
      <c r="F6" s="390"/>
    </row>
    <row r="7" spans="1:6" s="384" customFormat="1" ht="54.75" customHeight="1">
      <c r="A7" s="388" t="s">
        <v>116</v>
      </c>
      <c r="B7" s="389">
        <f>3600+124587</f>
        <v>128187</v>
      </c>
      <c r="C7" s="403">
        <v>124684</v>
      </c>
      <c r="D7" s="390">
        <f aca="true" t="shared" si="0" ref="D7:D13">+C7/B7*100</f>
        <v>97.26727359248598</v>
      </c>
      <c r="E7" s="389">
        <v>115049</v>
      </c>
      <c r="F7" s="390">
        <f aca="true" t="shared" si="1" ref="F7:F13">+(C7-E7)/E7*100</f>
        <v>8.374692522316577</v>
      </c>
    </row>
    <row r="8" spans="1:6" s="384" customFormat="1" ht="54.75" customHeight="1">
      <c r="A8" s="388" t="s">
        <v>117</v>
      </c>
      <c r="B8" s="389">
        <v>0</v>
      </c>
      <c r="C8" s="403"/>
      <c r="D8" s="390"/>
      <c r="E8" s="389">
        <v>1426</v>
      </c>
      <c r="F8" s="390"/>
    </row>
    <row r="9" spans="1:6" s="384" customFormat="1" ht="54.75" customHeight="1">
      <c r="A9" s="388" t="s">
        <v>118</v>
      </c>
      <c r="B9" s="389">
        <v>0</v>
      </c>
      <c r="C9" s="403">
        <v>0</v>
      </c>
      <c r="D9" s="390"/>
      <c r="E9" s="389">
        <v>0</v>
      </c>
      <c r="F9" s="390"/>
    </row>
    <row r="10" spans="1:6" s="384" customFormat="1" ht="54.75" customHeight="1">
      <c r="A10" s="388" t="s">
        <v>119</v>
      </c>
      <c r="B10" s="389">
        <v>98</v>
      </c>
      <c r="C10" s="403">
        <v>80</v>
      </c>
      <c r="D10" s="390">
        <f t="shared" si="0"/>
        <v>81.63265306122449</v>
      </c>
      <c r="E10" s="389">
        <v>493</v>
      </c>
      <c r="F10" s="390">
        <f t="shared" si="1"/>
        <v>-83.77281947261663</v>
      </c>
    </row>
    <row r="11" spans="1:6" s="384" customFormat="1" ht="54.75" customHeight="1">
      <c r="A11" s="388" t="s">
        <v>120</v>
      </c>
      <c r="B11" s="389">
        <v>0</v>
      </c>
      <c r="C11" s="389">
        <v>0</v>
      </c>
      <c r="D11" s="390"/>
      <c r="E11" s="389">
        <v>0</v>
      </c>
      <c r="F11" s="390"/>
    </row>
    <row r="12" spans="1:6" s="384" customFormat="1" ht="54.75" customHeight="1">
      <c r="A12" s="388" t="s">
        <v>121</v>
      </c>
      <c r="B12" s="389">
        <v>1018</v>
      </c>
      <c r="C12" s="389">
        <f>20+2565</f>
        <v>2585</v>
      </c>
      <c r="D12" s="390">
        <f t="shared" si="0"/>
        <v>253.92927308447938</v>
      </c>
      <c r="E12" s="389">
        <v>6493</v>
      </c>
      <c r="F12" s="390">
        <f t="shared" si="1"/>
        <v>-60.18789465578315</v>
      </c>
    </row>
    <row r="13" spans="1:6" s="384" customFormat="1" ht="54.75" customHeight="1">
      <c r="A13" s="391" t="s">
        <v>122</v>
      </c>
      <c r="B13" s="389">
        <f>SUM(B4:B12)</f>
        <v>129303</v>
      </c>
      <c r="C13" s="389">
        <f>SUM(C4:C12)</f>
        <v>127464</v>
      </c>
      <c r="D13" s="390">
        <f t="shared" si="0"/>
        <v>98.57775921672352</v>
      </c>
      <c r="E13" s="389">
        <f>SUM(E4:E12)</f>
        <v>123585</v>
      </c>
      <c r="F13" s="390">
        <f t="shared" si="1"/>
        <v>3.138730428450055</v>
      </c>
    </row>
    <row r="14" spans="1:6" s="384" customFormat="1" ht="39" customHeight="1">
      <c r="A14" s="472"/>
      <c r="B14" s="473"/>
      <c r="C14" s="473"/>
      <c r="D14" s="473"/>
      <c r="E14" s="473"/>
      <c r="F14" s="473"/>
    </row>
  </sheetData>
  <sheetProtection/>
  <mergeCells count="3">
    <mergeCell ref="A1:F1"/>
    <mergeCell ref="E2:F2"/>
    <mergeCell ref="A14:F14"/>
  </mergeCells>
  <printOptions horizontalCentered="1"/>
  <pageMargins left="0.79" right="0.79" top="0.98" bottom="0.98" header="0.2" footer="0.79"/>
  <pageSetup firstPageNumber="12" useFirstPageNumber="1" horizontalDpi="600" verticalDpi="600" orientation="portrait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6" sqref="D6"/>
    </sheetView>
  </sheetViews>
  <sheetFormatPr defaultColWidth="8.75390625" defaultRowHeight="14.25"/>
  <cols>
    <col min="1" max="1" width="42.375" style="370" customWidth="1"/>
    <col min="2" max="2" width="17.75390625" style="370" customWidth="1"/>
    <col min="3" max="3" width="39.625" style="370" customWidth="1"/>
    <col min="4" max="4" width="17.625" style="370" customWidth="1"/>
    <col min="5" max="16384" width="8.75390625" style="370" customWidth="1"/>
  </cols>
  <sheetData>
    <row r="1" spans="1:4" ht="14.25">
      <c r="A1" s="474"/>
      <c r="B1" s="474"/>
      <c r="C1" s="474"/>
      <c r="D1" s="474"/>
    </row>
    <row r="2" spans="1:4" ht="25.5" customHeight="1">
      <c r="A2" s="475" t="s">
        <v>130</v>
      </c>
      <c r="B2" s="475"/>
      <c r="C2" s="475"/>
      <c r="D2" s="475"/>
    </row>
    <row r="3" spans="1:4" ht="22.5" customHeight="1">
      <c r="A3" s="371"/>
      <c r="B3" s="371"/>
      <c r="C3" s="371"/>
      <c r="D3" s="372" t="s">
        <v>131</v>
      </c>
    </row>
    <row r="4" spans="1:4" ht="18.75" customHeight="1">
      <c r="A4" s="476" t="s">
        <v>132</v>
      </c>
      <c r="B4" s="477"/>
      <c r="C4" s="476" t="s">
        <v>133</v>
      </c>
      <c r="D4" s="477"/>
    </row>
    <row r="5" spans="1:4" ht="18.75" customHeight="1">
      <c r="A5" s="373" t="s">
        <v>134</v>
      </c>
      <c r="B5" s="373" t="s">
        <v>135</v>
      </c>
      <c r="C5" s="373" t="s">
        <v>134</v>
      </c>
      <c r="D5" s="373" t="s">
        <v>136</v>
      </c>
    </row>
    <row r="6" spans="1:4" ht="20.25" customHeight="1">
      <c r="A6" s="374" t="s">
        <v>137</v>
      </c>
      <c r="B6" s="375">
        <v>1740.59</v>
      </c>
      <c r="C6" s="374" t="s">
        <v>138</v>
      </c>
      <c r="D6" s="375"/>
    </row>
    <row r="7" spans="1:4" ht="20.25" customHeight="1">
      <c r="A7" s="374" t="s">
        <v>139</v>
      </c>
      <c r="B7" s="375">
        <v>1725.09</v>
      </c>
      <c r="C7" s="374" t="s">
        <v>140</v>
      </c>
      <c r="D7" s="375"/>
    </row>
    <row r="8" spans="1:4" ht="20.25" customHeight="1">
      <c r="A8" s="374" t="s">
        <v>141</v>
      </c>
      <c r="B8" s="375"/>
      <c r="C8" s="374" t="s">
        <v>142</v>
      </c>
      <c r="D8" s="375"/>
    </row>
    <row r="9" spans="1:4" ht="20.25" customHeight="1">
      <c r="A9" s="374" t="s">
        <v>143</v>
      </c>
      <c r="B9" s="375">
        <v>15.5</v>
      </c>
      <c r="C9" s="374" t="s">
        <v>144</v>
      </c>
      <c r="D9" s="375"/>
    </row>
    <row r="10" spans="1:4" ht="20.25" customHeight="1">
      <c r="A10" s="374" t="s">
        <v>145</v>
      </c>
      <c r="B10" s="375"/>
      <c r="C10" s="374" t="s">
        <v>146</v>
      </c>
      <c r="D10" s="375"/>
    </row>
    <row r="11" spans="1:4" ht="20.25" customHeight="1">
      <c r="A11" s="374" t="s">
        <v>147</v>
      </c>
      <c r="B11" s="375"/>
      <c r="C11" s="374" t="s">
        <v>148</v>
      </c>
      <c r="D11" s="375">
        <v>56.6</v>
      </c>
    </row>
    <row r="12" spans="1:4" ht="20.25" customHeight="1">
      <c r="A12" s="374" t="s">
        <v>149</v>
      </c>
      <c r="B12" s="375"/>
      <c r="C12" s="374" t="s">
        <v>150</v>
      </c>
      <c r="D12" s="375"/>
    </row>
    <row r="13" spans="1:4" ht="20.25" customHeight="1">
      <c r="A13" s="376" t="s">
        <v>151</v>
      </c>
      <c r="B13" s="375"/>
      <c r="C13" s="374" t="s">
        <v>152</v>
      </c>
      <c r="D13" s="375"/>
    </row>
    <row r="14" spans="1:4" ht="20.25" customHeight="1">
      <c r="A14" s="374" t="s">
        <v>153</v>
      </c>
      <c r="B14" s="375"/>
      <c r="C14" s="374" t="s">
        <v>154</v>
      </c>
      <c r="D14" s="375"/>
    </row>
    <row r="15" spans="1:4" ht="18.75" customHeight="1">
      <c r="A15" s="374" t="s">
        <v>155</v>
      </c>
      <c r="B15" s="375"/>
      <c r="C15" s="374" t="s">
        <v>156</v>
      </c>
      <c r="D15" s="375"/>
    </row>
    <row r="16" spans="1:4" ht="20.25" customHeight="1">
      <c r="A16" s="374" t="s">
        <v>157</v>
      </c>
      <c r="B16" s="375"/>
      <c r="C16" s="374" t="s">
        <v>158</v>
      </c>
      <c r="D16" s="375">
        <v>1683.99</v>
      </c>
    </row>
    <row r="17" spans="1:4" ht="20.25" customHeight="1">
      <c r="A17" s="374" t="s">
        <v>155</v>
      </c>
      <c r="B17" s="375"/>
      <c r="C17" s="374" t="s">
        <v>159</v>
      </c>
      <c r="D17" s="375"/>
    </row>
    <row r="18" spans="1:4" ht="20.25" customHeight="1">
      <c r="A18" s="374" t="s">
        <v>160</v>
      </c>
      <c r="B18" s="375"/>
      <c r="C18" s="374" t="s">
        <v>161</v>
      </c>
      <c r="D18" s="375"/>
    </row>
    <row r="19" spans="1:4" ht="20.25" customHeight="1">
      <c r="A19" s="374" t="s">
        <v>155</v>
      </c>
      <c r="B19" s="375"/>
      <c r="C19" s="374"/>
      <c r="D19" s="377"/>
    </row>
    <row r="20" spans="1:4" ht="18" customHeight="1">
      <c r="A20" s="373" t="s">
        <v>162</v>
      </c>
      <c r="B20" s="378">
        <v>1740.59</v>
      </c>
      <c r="C20" s="379" t="s">
        <v>163</v>
      </c>
      <c r="D20" s="380">
        <v>1740.59</v>
      </c>
    </row>
    <row r="21" spans="1:4" ht="20.25" customHeight="1">
      <c r="A21" s="373" t="s">
        <v>164</v>
      </c>
      <c r="B21" s="375"/>
      <c r="C21" s="373" t="s">
        <v>165</v>
      </c>
      <c r="D21" s="381"/>
    </row>
    <row r="22" spans="1:4" ht="20.25" customHeight="1">
      <c r="A22" s="382" t="s">
        <v>166</v>
      </c>
      <c r="B22" s="375">
        <v>1740.59</v>
      </c>
      <c r="C22" s="382" t="s">
        <v>167</v>
      </c>
      <c r="D22" s="375">
        <v>1740.59</v>
      </c>
    </row>
  </sheetData>
  <sheetProtection/>
  <mergeCells count="4">
    <mergeCell ref="A1:D1"/>
    <mergeCell ref="A2:D2"/>
    <mergeCell ref="A4:B4"/>
    <mergeCell ref="C4:D4"/>
  </mergeCells>
  <printOptions horizontalCentered="1"/>
  <pageMargins left="0.75" right="0.75" top="0.98" bottom="0.98" header="0.51" footer="0.79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gkc</dc:creator>
  <cp:keywords/>
  <dc:description/>
  <cp:lastModifiedBy>Administrator</cp:lastModifiedBy>
  <cp:lastPrinted>2016-12-29T15:56:56Z</cp:lastPrinted>
  <dcterms:created xsi:type="dcterms:W3CDTF">2006-09-28T09:45:57Z</dcterms:created>
  <dcterms:modified xsi:type="dcterms:W3CDTF">2017-03-31T06:08:19Z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